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05" windowWidth="13590" windowHeight="11580" tabRatio="622"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'W1'!$F$7:$BC$16</definedName>
    <definedName name="Data" localSheetId="5">'W2'!$F$7:$BA$38</definedName>
    <definedName name="Data" localSheetId="6">'W3'!$F$7:$BA$23</definedName>
    <definedName name="Data" localSheetId="7">'W4'!$F$7:$BA$27</definedName>
    <definedName name="Data" localSheetId="8">'W5'!$F$7:$BA$12</definedName>
    <definedName name="Foot" localSheetId="4">'W1'!$A$36:$AO$57</definedName>
    <definedName name="Foot" localSheetId="5">'W2'!$A$65:$BB$86</definedName>
    <definedName name="Foot" localSheetId="6">'W3'!$A$48:$AO$69</definedName>
    <definedName name="Foot" localSheetId="7">'W4'!$A$51:$AO$72</definedName>
    <definedName name="Foot" localSheetId="8">'W5'!$A$22:$AO$43</definedName>
    <definedName name="FootLng" localSheetId="4">'W1'!$B$33</definedName>
    <definedName name="FootLng" localSheetId="5">'W2'!$B$62</definedName>
    <definedName name="FootLng" localSheetId="6">'W3'!$B$45</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'Definitions'!$B$1:$D$79</definedName>
    <definedName name="_xlnm.Print_Area" localSheetId="3">'Diagram'!$A$1:$W$37</definedName>
    <definedName name="_xlnm.Print_Area" localSheetId="4">'W1'!$C$1:$BD$57</definedName>
    <definedName name="_xlnm.Print_Area" localSheetId="5">'W2'!$C$1:$BA$88</definedName>
    <definedName name="_xlnm.Print_Area" localSheetId="6">'W3'!$C$1:$BB$69</definedName>
    <definedName name="_xlnm.Print_Area" localSheetId="7">'W4'!$C$1:$BB$73</definedName>
    <definedName name="_xlnm.Print_Area" localSheetId="8">'W5'!$C$1:$BB$43</definedName>
    <definedName name="_xlnm.Print_Area" localSheetId="9">'W6'!$C$1:$P$24</definedName>
    <definedName name="_xlnm.Print_Titles" localSheetId="2">'Definitions'!$16:$18</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'W2'!$B$8:$B$38</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Renewable freshwater resources: 
</t>
        </r>
        <r>
          <rPr>
            <sz val="8"/>
            <rFont val="Tahoma"/>
            <family val="2"/>
          </rPr>
          <t>= Internal flow + Inflow of surface and groundwaters from neighbouring countries.</t>
        </r>
      </text>
    </comment>
    <comment ref="D10" authorId="0">
      <text>
        <r>
          <rPr>
            <b/>
            <sz val="8"/>
            <rFont val="Tahoma"/>
            <family val="2"/>
          </rPr>
          <t>Internal flow:</t>
        </r>
        <r>
          <rPr>
            <sz val="8"/>
            <rFont val="Tahoma"/>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rFont val="Tahoma"/>
            <family val="2"/>
          </rPr>
          <t>Actual evapotranspiration:</t>
        </r>
        <r>
          <rPr>
            <sz val="8"/>
            <rFont val="Tahoma"/>
            <family val="2"/>
          </rPr>
          <t xml:space="preserve">
</t>
        </r>
        <r>
          <rPr>
            <sz val="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rFont val="Tahoma"/>
            <family val="2"/>
          </rPr>
          <t>Precipitation:</t>
        </r>
        <r>
          <rPr>
            <sz val="8"/>
            <rFont val="Tahoma"/>
            <family val="2"/>
          </rPr>
          <t xml:space="preserve">
Total volume of atmospheric wet precipitation (rain, snow, hail, dew, etc.) falling on the territory of the country over one year, in millions of cubic metres.</t>
        </r>
      </text>
    </comment>
    <comment ref="D11" authorId="0">
      <text>
        <r>
          <rPr>
            <b/>
            <sz val="8"/>
            <rFont val="Tahoma"/>
            <family val="2"/>
          </rPr>
          <t>Inflow of surface and groundwaters from neighbouring countries:</t>
        </r>
        <r>
          <rPr>
            <sz val="8"/>
            <rFont val="Tahoma"/>
            <family val="2"/>
          </rPr>
          <t xml:space="preserve">
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rFont val="Tahoma"/>
            <family val="2"/>
          </rPr>
          <t>Outflow of surface and groundwaters to neighbouring countries:</t>
        </r>
        <r>
          <rPr>
            <sz val="8"/>
            <rFont val="Tahoma"/>
            <family val="2"/>
          </rPr>
          <t xml:space="preserve">
Actual outflow of rivers and groundwater into neighbouring countries.</t>
        </r>
      </text>
    </comment>
    <comment ref="D14" authorId="1">
      <text>
        <r>
          <rPr>
            <b/>
            <sz val="8"/>
            <rFont val="Tahoma"/>
            <family val="2"/>
          </rPr>
          <t xml:space="preserve">Secured by treaties:
</t>
        </r>
        <r>
          <rPr>
            <sz val="8"/>
            <rFont val="Tahoma"/>
            <family val="2"/>
          </rPr>
          <t>The volume of surface water and groundwater that moves out of the country of reference that is guaranteed by formal agreements to adjacent countries per year.</t>
        </r>
        <r>
          <rPr>
            <sz val="10"/>
            <rFont val="Tahoma"/>
            <family val="2"/>
          </rPr>
          <t xml:space="preserve">
</t>
        </r>
      </text>
    </comment>
    <comment ref="D15" authorId="1">
      <text>
        <r>
          <rPr>
            <b/>
            <sz val="8"/>
            <rFont val="Tahoma"/>
            <family val="2"/>
          </rPr>
          <t xml:space="preserve">Not secured by treaties:
</t>
        </r>
        <r>
          <rPr>
            <sz val="8"/>
            <rFont val="Tahoma"/>
            <family val="2"/>
          </rPr>
          <t>The volume of surface water and groundwater that moves out of the country of reference that is not guaranteed by formal agreements to adjacent countries per year.</t>
        </r>
        <r>
          <rPr>
            <sz val="10"/>
            <rFont val="Tahoma"/>
            <family val="2"/>
          </rPr>
          <t xml:space="preserve">
</t>
        </r>
      </text>
    </comment>
    <comment ref="D16" authorId="1">
      <text>
        <r>
          <rPr>
            <b/>
            <sz val="8"/>
            <rFont val="Tahoma"/>
            <family val="2"/>
          </rPr>
          <t>Outflow of surface and groundwaters to the sea:</t>
        </r>
        <r>
          <rPr>
            <sz val="8"/>
            <rFont val="Tahoma"/>
            <family val="2"/>
          </rPr>
          <t xml:space="preserve">
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Jeremy Webb</author>
    <author>United Nations</author>
    <author>David Rausis</author>
  </authors>
  <commentList>
    <comment ref="D9" authorId="0">
      <text>
        <r>
          <rPr>
            <b/>
            <sz val="8"/>
            <rFont val="Tahoma"/>
            <family val="2"/>
          </rPr>
          <t>Fresh groundwater abstracted:</t>
        </r>
        <r>
          <rPr>
            <sz val="8"/>
            <rFont val="Tahoma"/>
            <family val="2"/>
          </rPr>
          <t xml:space="preserve">
Water removed from any groundwater sources either permanently or temporarily. </t>
        </r>
      </text>
    </comment>
    <comment ref="D8" authorId="0">
      <text>
        <r>
          <rPr>
            <b/>
            <sz val="8"/>
            <rFont val="Tahoma"/>
            <family val="2"/>
          </rPr>
          <t xml:space="preserve">Fresh surface water abstracted:
</t>
        </r>
        <r>
          <rPr>
            <sz val="8"/>
            <rFont val="Tahoma"/>
            <family val="2"/>
          </rPr>
          <t>Water removed from any surface water sources, such as rivers, lakes, reservoirs or rainwater, either permanently or temporarily.</t>
        </r>
        <r>
          <rPr>
            <sz val="8"/>
            <rFont val="Tahoma"/>
            <family val="2"/>
          </rPr>
          <t xml:space="preserve">
</t>
        </r>
      </text>
    </comment>
    <comment ref="D10" authorId="1">
      <text>
        <r>
          <rPr>
            <b/>
            <sz val="8"/>
            <rFont val="Tahoma"/>
            <family val="2"/>
          </rPr>
          <t xml:space="preserve">Freshwater abstracted:
</t>
        </r>
        <r>
          <rPr>
            <sz val="8"/>
            <rFont val="Tahoma"/>
            <family val="2"/>
          </rPr>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t>
        </r>
      </text>
    </comment>
    <comment ref="D12" authorId="2">
      <text>
        <r>
          <rPr>
            <sz val="8"/>
            <rFont val="Tahoma"/>
            <family val="2"/>
          </rPr>
          <t xml:space="preserve">(Freshwater abstracted by) </t>
        </r>
        <r>
          <rPr>
            <b/>
            <sz val="8"/>
            <rFont val="Tahoma"/>
            <family val="2"/>
          </rPr>
          <t>Water supply industry (ISIC 36):</t>
        </r>
        <r>
          <rPr>
            <sz val="8"/>
            <rFont val="Tahoma"/>
            <family val="2"/>
          </rPr>
          <t xml:space="preserve">
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3" authorId="2">
      <text>
        <r>
          <rPr>
            <sz val="8"/>
            <rFont val="Tahoma"/>
            <family val="2"/>
          </rPr>
          <t xml:space="preserve">(Freshwater abstracted by) </t>
        </r>
        <r>
          <rPr>
            <b/>
            <sz val="8"/>
            <rFont val="Tahoma"/>
            <family val="2"/>
          </rPr>
          <t>Households:</t>
        </r>
        <r>
          <rPr>
            <sz val="8"/>
            <rFont val="Tahoma"/>
            <family val="2"/>
          </rPr>
          <t xml:space="preserve">
The volume of water directly abstracted from surface water sources (rivers, lakes, reservoirs etc., including the volume of rainwater collected) and groundwater sources by households for own use.</t>
        </r>
      </text>
    </comment>
    <comment ref="D14" authorId="2">
      <text>
        <r>
          <rPr>
            <sz val="8"/>
            <rFont val="Tahoma"/>
            <family val="2"/>
          </rPr>
          <t>(Freshwater abstracted by)</t>
        </r>
        <r>
          <rPr>
            <b/>
            <sz val="8"/>
            <rFont val="Tahoma"/>
            <family val="2"/>
          </rPr>
          <t xml:space="preserve"> Agriculture, forestry and fishing (ISIC 01-03):</t>
        </r>
        <r>
          <rPr>
            <sz val="8"/>
            <rFont val="Tahoma"/>
            <family val="2"/>
          </rPr>
          <t xml:space="preserve">
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7" authorId="2">
      <text>
        <r>
          <rPr>
            <sz val="8"/>
            <rFont val="Tahoma"/>
            <family val="2"/>
          </rPr>
          <t xml:space="preserve">(Freshwater abstracted by) </t>
        </r>
        <r>
          <rPr>
            <b/>
            <sz val="8"/>
            <rFont val="Tahoma"/>
            <family val="2"/>
          </rPr>
          <t>Manufacturing (ISIC 10-33):</t>
        </r>
        <r>
          <rPr>
            <sz val="8"/>
            <rFont val="Tahoma"/>
            <family val="2"/>
          </rPr>
          <t xml:space="preserve">
The volume of water directly abstracted from surface water sources (rivers, lakes, reservoirs etc., including the volume of rainwater collected) and groundwater sources by economic units belonging to ISIC 10-33 for own use.</t>
        </r>
      </text>
    </comment>
    <comment ref="D19" authorId="2">
      <text>
        <r>
          <rPr>
            <sz val="8"/>
            <rFont val="Tahoma"/>
            <family val="2"/>
          </rPr>
          <t xml:space="preserve">(Freshwater abstracted by) </t>
        </r>
        <r>
          <rPr>
            <b/>
            <sz val="8"/>
            <rFont val="Tahoma"/>
            <family val="2"/>
          </rPr>
          <t xml:space="preserve">Electric power generation, transmission and distribution (ISIC 351):
</t>
        </r>
        <r>
          <rPr>
            <sz val="8"/>
            <rFont val="Tahoma"/>
            <family val="2"/>
          </rPr>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r>
        <r>
          <rPr>
            <sz val="8"/>
            <rFont val="Tahoma"/>
            <family val="2"/>
          </rPr>
          <t xml:space="preserve">
</t>
        </r>
      </text>
    </comment>
    <comment ref="D21" authorId="2">
      <text>
        <r>
          <rPr>
            <sz val="8"/>
            <rFont val="Tahoma"/>
            <family val="2"/>
          </rPr>
          <t xml:space="preserve">(Freshwater abstracted by) </t>
        </r>
        <r>
          <rPr>
            <b/>
            <sz val="8"/>
            <rFont val="Tahoma"/>
            <family val="2"/>
          </rPr>
          <t xml:space="preserve">Other economic activities:
</t>
        </r>
        <r>
          <rPr>
            <sz val="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22" authorId="2">
      <text>
        <r>
          <rPr>
            <b/>
            <sz val="8"/>
            <rFont val="Tahoma"/>
            <family val="2"/>
          </rPr>
          <t>Desalinated water:</t>
        </r>
        <r>
          <rPr>
            <sz val="8"/>
            <rFont val="Tahoma"/>
            <family val="2"/>
          </rPr>
          <t xml:space="preserve">
Total volume of water obtained from desalination of (i.e., removal of salt from) seawater and brackish water.</t>
        </r>
      </text>
    </comment>
    <comment ref="D23" authorId="2">
      <text>
        <r>
          <rPr>
            <b/>
            <sz val="8"/>
            <rFont val="Tahoma"/>
            <family val="2"/>
          </rPr>
          <t>Reused water:</t>
        </r>
        <r>
          <rPr>
            <sz val="8"/>
            <rFont val="Tahoma"/>
            <family val="2"/>
          </rPr>
          <t xml:space="preserve">
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4" authorId="2">
      <text>
        <r>
          <rPr>
            <b/>
            <sz val="8"/>
            <rFont val="Tahoma"/>
            <family val="2"/>
          </rPr>
          <t>Imports of water:</t>
        </r>
        <r>
          <rPr>
            <sz val="8"/>
            <rFont val="Tahoma"/>
            <family val="2"/>
          </rPr>
          <t xml:space="preserve">
Total volume of bulk water that is imported from other countries as a commodity through pipelines or on ships or trucks.  Excludes bottled water.</t>
        </r>
      </text>
    </comment>
    <comment ref="D25" authorId="2">
      <text>
        <r>
          <rPr>
            <b/>
            <sz val="8"/>
            <rFont val="Tahoma"/>
            <family val="2"/>
          </rPr>
          <t>Exports of water:</t>
        </r>
        <r>
          <rPr>
            <sz val="8"/>
            <rFont val="Tahoma"/>
            <family val="2"/>
          </rPr>
          <t xml:space="preserve">
Total volume of bulk water that is exported to other countries as a commodity through pipelines or on ships or trucks.  Excludes bottled water.</t>
        </r>
      </text>
    </comment>
    <comment ref="D26" authorId="2">
      <text>
        <r>
          <rPr>
            <b/>
            <sz val="8"/>
            <rFont val="Tahoma"/>
            <family val="2"/>
          </rPr>
          <t>Total freshwater available for use:</t>
        </r>
        <r>
          <rPr>
            <sz val="8"/>
            <rFont val="Tahoma"/>
            <family val="2"/>
          </rPr>
          <t xml:space="preserve">
 = Freshwater abstracted + Desalinated water + Reused water + Imports of water - Exports of water.</t>
        </r>
      </text>
    </comment>
    <comment ref="D27" authorId="2">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 </t>
        </r>
      </text>
    </comment>
    <comment ref="D28" authorId="2">
      <text>
        <r>
          <rPr>
            <b/>
            <sz val="8"/>
            <rFont val="Tahoma"/>
            <family val="2"/>
          </rPr>
          <t>Total freshwater use:</t>
        </r>
        <r>
          <rPr>
            <sz val="8"/>
            <rFont val="Tahoma"/>
            <family val="2"/>
          </rPr>
          <t xml:space="preserve">
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30" authorId="2">
      <text>
        <r>
          <rPr>
            <sz val="8"/>
            <rFont val="Tahoma"/>
            <family val="2"/>
          </rPr>
          <t>(Freshwater used by)</t>
        </r>
        <r>
          <rPr>
            <b/>
            <sz val="8"/>
            <rFont val="Tahoma"/>
            <family val="2"/>
          </rPr>
          <t xml:space="preserve"> Households:</t>
        </r>
        <r>
          <rPr>
            <sz val="8"/>
            <rFont val="Tahoma"/>
            <family val="2"/>
          </rPr>
          <t xml:space="preserve">
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31" authorId="2">
      <text>
        <r>
          <rPr>
            <sz val="8"/>
            <rFont val="Tahoma"/>
            <family val="2"/>
          </rPr>
          <t>(Freshwater used by)</t>
        </r>
        <r>
          <rPr>
            <b/>
            <sz val="8"/>
            <rFont val="Tahoma"/>
            <family val="2"/>
          </rPr>
          <t xml:space="preserve"> Agriculture, forestry and fishing (ISIC 01-03):</t>
        </r>
        <r>
          <rPr>
            <sz val="8"/>
            <rFont val="Tahoma"/>
            <family val="2"/>
          </rPr>
          <t xml:space="preserve">
The volume of water used for economic activities belonging to agriculture, forestry and fishing (ISIC 01-03), either directly abstracted from water sources for own use or supplied by the water supply industry.</t>
        </r>
      </text>
    </comment>
    <comment ref="D32" authorId="2">
      <text>
        <r>
          <rPr>
            <b/>
            <sz val="8"/>
            <rFont val="Tahoma"/>
            <family val="2"/>
          </rPr>
          <t>Irrigation in agriculture:</t>
        </r>
        <r>
          <rPr>
            <sz val="8"/>
            <rFont val="Tahoma"/>
            <family val="2"/>
          </rPr>
          <t xml:space="preserve">
Artificial application of water on land to assist in the growing of crops and pastures.</t>
        </r>
      </text>
    </comment>
    <comment ref="D34" authorId="2">
      <text>
        <r>
          <rPr>
            <sz val="8"/>
            <rFont val="Tahoma"/>
            <family val="2"/>
          </rPr>
          <t>(Freshwater used by)</t>
        </r>
        <r>
          <rPr>
            <b/>
            <sz val="8"/>
            <rFont val="Tahoma"/>
            <family val="2"/>
          </rPr>
          <t xml:space="preserve"> Manufacturing (ISIC 10-33):</t>
        </r>
        <r>
          <rPr>
            <sz val="8"/>
            <rFont val="Tahoma"/>
            <family val="2"/>
          </rPr>
          <t xml:space="preserve">
The volume of water used for economic activities belonging to manufacturing (ISIC 10-33), either directly abstracted from water sources for own use or supplied by the water supply industry.</t>
        </r>
      </text>
    </comment>
    <comment ref="D36" authorId="2">
      <text>
        <r>
          <rPr>
            <sz val="8"/>
            <rFont val="Tahoma"/>
            <family val="2"/>
          </rPr>
          <t>(Freshwater used by)</t>
        </r>
        <r>
          <rPr>
            <b/>
            <sz val="8"/>
            <rFont val="Tahoma"/>
            <family val="2"/>
          </rPr>
          <t xml:space="preserve"> Electric power generation, transmission and distribution ISIC 351):</t>
        </r>
        <r>
          <rPr>
            <sz val="8"/>
            <rFont val="Tahoma"/>
            <family val="2"/>
          </rPr>
          <t xml:space="preserve">
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38" authorId="2">
      <text>
        <r>
          <rPr>
            <sz val="8"/>
            <rFont val="Tahoma"/>
            <family val="2"/>
          </rPr>
          <t>(Freshwater used by)</t>
        </r>
        <r>
          <rPr>
            <b/>
            <sz val="8"/>
            <rFont val="Tahoma"/>
            <family val="2"/>
          </rPr>
          <t xml:space="preserve"> Other economic activities:</t>
        </r>
        <r>
          <rPr>
            <sz val="8"/>
            <rFont val="Tahoma"/>
            <family val="2"/>
          </rPr>
          <t xml:space="preserve">
The volume of water used for all other economic activities not specified above, either directly abstracted from water sources for own use or supplied by the water supply industry.</t>
        </r>
      </text>
    </comment>
    <comment ref="D15" authorId="2">
      <text>
        <r>
          <rPr>
            <b/>
            <sz val="8"/>
            <rFont val="Tahoma"/>
            <family val="2"/>
          </rPr>
          <t>Irrigation in agriculture:</t>
        </r>
        <r>
          <rPr>
            <sz val="8"/>
            <rFont val="Tahoma"/>
            <family val="2"/>
          </rPr>
          <t xml:space="preserve">
Artificial application of water on land to assist in the growing of crops and pastures.</t>
        </r>
      </text>
    </comment>
    <comment ref="D16" authorId="3">
      <text>
        <r>
          <rPr>
            <sz val="8"/>
            <rFont val="Tahoma"/>
            <family val="2"/>
          </rPr>
          <t xml:space="preserve">(Freshwater abstracted by) </t>
        </r>
        <r>
          <rPr>
            <b/>
            <sz val="8"/>
            <rFont val="Tahoma"/>
            <family val="2"/>
          </rPr>
          <t>Mining and quarrying (ISIC 05-09):</t>
        </r>
        <r>
          <rPr>
            <sz val="8"/>
            <rFont val="Tahoma"/>
            <family val="2"/>
          </rPr>
          <t xml:space="preserve">
The volume of water directly abstracted from surface water sources (rivers, lakes, reservoirs etc., including the volume of rainwater collected) and groundwater sources by economic units belonging to ISIC 05-09 for own use.</t>
        </r>
      </text>
    </comment>
    <comment ref="D18" authorId="3">
      <text>
        <r>
          <rPr>
            <sz val="8"/>
            <rFont val="Tahoma"/>
            <family val="2"/>
          </rPr>
          <t xml:space="preserve">(Freshwater abstracted by) </t>
        </r>
        <r>
          <rPr>
            <b/>
            <sz val="8"/>
            <rFont val="Tahoma"/>
            <family val="2"/>
          </rPr>
          <t>Electricity, gas, steam and air conditioning supply (ISIC 35):</t>
        </r>
        <r>
          <rPr>
            <sz val="8"/>
            <rFont val="Tahoma"/>
            <family val="2"/>
          </rPr>
          <t xml:space="preserve">
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r>
      </text>
    </comment>
    <comment ref="D20" authorId="3">
      <text>
        <r>
          <rPr>
            <sz val="8"/>
            <rFont val="Tahoma"/>
            <family val="2"/>
          </rPr>
          <t>(Freshwater abstracted by)</t>
        </r>
        <r>
          <rPr>
            <b/>
            <sz val="8"/>
            <rFont val="Tahoma"/>
            <family val="2"/>
          </rPr>
          <t xml:space="preserve"> Construction (ISIC 41-43):</t>
        </r>
        <r>
          <rPr>
            <sz val="8"/>
            <rFont val="Tahoma"/>
            <family val="2"/>
          </rPr>
          <t xml:space="preserve">
The volume of water directly abstracted from surface water sources (rivers, lakes, reservoirs etc., including the volume of rainwater collected) and groundwater sources by economic units belonging to ISIC 41-43 for own use.</t>
        </r>
      </text>
    </comment>
    <comment ref="D33" authorId="3">
      <text>
        <r>
          <rPr>
            <sz val="8"/>
            <rFont val="Tahoma"/>
            <family val="2"/>
          </rPr>
          <t xml:space="preserve">(Freshwater used by) </t>
        </r>
        <r>
          <rPr>
            <b/>
            <sz val="8"/>
            <rFont val="Tahoma"/>
            <family val="2"/>
          </rPr>
          <t>Mining and quarrying (ISIC 05-09):</t>
        </r>
        <r>
          <rPr>
            <sz val="8"/>
            <rFont val="Tahoma"/>
            <family val="2"/>
          </rPr>
          <t xml:space="preserve">
The volume of water used for economic activities belonging to mining and quarrying (ISIC 05-09), either directly abstracted from water sources for own use or supplied by the water supply industry</t>
        </r>
        <r>
          <rPr>
            <sz val="9"/>
            <rFont val="Tahoma"/>
            <family val="2"/>
          </rPr>
          <t>.</t>
        </r>
      </text>
    </comment>
    <comment ref="D35" authorId="3">
      <text>
        <r>
          <rPr>
            <sz val="8"/>
            <rFont val="Tahoma"/>
            <family val="2"/>
          </rPr>
          <t xml:space="preserve">(Freshwater used by) </t>
        </r>
        <r>
          <rPr>
            <b/>
            <sz val="8"/>
            <rFont val="Tahoma"/>
            <family val="2"/>
          </rPr>
          <t>Electricity, gas, steam and air conditioning supply (ISIC 35):</t>
        </r>
        <r>
          <rPr>
            <sz val="8"/>
            <rFont val="Tahoma"/>
            <family val="2"/>
          </rPr>
          <t xml:space="preserve">
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r>
      </text>
    </comment>
    <comment ref="D37" authorId="3">
      <text>
        <r>
          <rPr>
            <sz val="8"/>
            <rFont val="Tahoma"/>
            <family val="2"/>
          </rPr>
          <t xml:space="preserve">(Freshwater used by) </t>
        </r>
        <r>
          <rPr>
            <b/>
            <sz val="8"/>
            <rFont val="Tahoma"/>
            <family val="2"/>
          </rPr>
          <t>Construction (ISIC 41-43):</t>
        </r>
        <r>
          <rPr>
            <sz val="8"/>
            <rFont val="Tahoma"/>
            <family val="2"/>
          </rPr>
          <t xml:space="preserve">
The volume of water used for economic activities belonging to construction (ISIC 43), either directly abstracted from water sources for own use or supplied by the water supply industry.</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t>
        </r>
      </text>
    </comment>
    <comment ref="D8" authorId="1">
      <text>
        <r>
          <rPr>
            <b/>
            <sz val="8"/>
            <rFont val="Tahoma"/>
            <family val="2"/>
          </rPr>
          <t xml:space="preserve">Gross freshwater supplied by water supply industry (ISIC 36):
</t>
        </r>
        <r>
          <rPr>
            <sz val="8"/>
            <rFont val="Tahoma"/>
            <family val="2"/>
          </rPr>
          <t>Water supplied by water supply industry to the user. Includes losses during transport. The water supplied by water supply industry for the operation of irrigation canals is excluded.</t>
        </r>
      </text>
    </comment>
    <comment ref="D10" authorId="1">
      <text>
        <r>
          <rPr>
            <b/>
            <sz val="8"/>
            <rFont val="Tahoma"/>
            <family val="2"/>
          </rPr>
          <t xml:space="preserve">Net freshwater supplied by water supply industry (ISIC 36): </t>
        </r>
        <r>
          <rPr>
            <sz val="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21"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22" authorId="2">
      <text>
        <r>
          <rPr>
            <b/>
            <sz val="8"/>
            <rFont val="Tahoma"/>
            <family val="2"/>
          </rPr>
          <t xml:space="preserve">Urban population supplied by water supply industry (ISIC 36):
</t>
        </r>
        <r>
          <rPr>
            <sz val="8"/>
            <rFont val="Tahoma"/>
            <family val="2"/>
          </rPr>
          <t>Percentage of the urban resident population using water supplied by the water supply industry (ISIC 36).</t>
        </r>
      </text>
    </comment>
    <comment ref="D23"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7"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21"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8"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9"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5"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2"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20"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3"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4"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rFont val="Tahoma"/>
            <family val="2"/>
          </rPr>
          <t xml:space="preserve">Total wastewater generated: </t>
        </r>
        <r>
          <rPr>
            <sz val="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rFont val="Tahoma"/>
            <family val="2"/>
          </rPr>
          <t xml:space="preserve">
</t>
        </r>
      </text>
    </comment>
    <comment ref="D15"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connected to wastewater collecting system:</t>
        </r>
        <r>
          <rPr>
            <sz val="8"/>
            <rFont val="Tahoma"/>
            <family val="2"/>
          </rPr>
          <t xml:space="preserve">
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<sst xmlns="http://schemas.openxmlformats.org/spreadsheetml/2006/main" count="1510" uniqueCount="635">
  <si>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</si>
  <si>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</si>
  <si>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</si>
  <si>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</si>
  <si>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 xml:space="preserve"> UNSD</t>
  </si>
  <si>
    <t>Artificial application of water on land to assist in the growing of crops and pastures.</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</si>
  <si>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</si>
  <si>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</si>
  <si>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</si>
  <si>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</si>
  <si>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</si>
  <si>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</si>
  <si>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</si>
  <si>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</si>
  <si>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</si>
  <si>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</si>
  <si>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</si>
  <si>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</si>
  <si>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</si>
  <si>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</si>
  <si>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</si>
  <si>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</si>
  <si>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</si>
  <si>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</si>
  <si>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</si>
  <si>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</si>
  <si>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</si>
  <si>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</si>
  <si>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</si>
  <si>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</si>
  <si>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</si>
  <si>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</si>
  <si>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</si>
  <si>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</si>
  <si>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Sewage sludge production (dry matter)</t>
  </si>
  <si>
    <t>W5</t>
  </si>
  <si>
    <t>W2, 9</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</si>
  <si>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</si>
  <si>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</si>
  <si>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</si>
  <si>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</si>
  <si>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</si>
  <si>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</si>
  <si>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</si>
  <si>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</si>
  <si>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</si>
  <si>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</si>
  <si>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</si>
  <si>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</si>
  <si>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</si>
  <si>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Water Supply Industry (ISIC 36)</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</si>
  <si>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</si>
  <si>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</si>
  <si>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</si>
  <si>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</si>
  <si>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</si>
  <si>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</si>
  <si>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</si>
  <si>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</si>
  <si>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</si>
  <si>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</si>
  <si>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</si>
  <si>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</si>
  <si>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</si>
  <si>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</si>
  <si>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</si>
  <si>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</si>
  <si>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</si>
  <si>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</si>
  <si>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</si>
  <si>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</si>
  <si>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</si>
  <si>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</si>
  <si>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</si>
  <si>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</si>
  <si>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</si>
  <si>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</si>
  <si>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</si>
  <si>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</si>
  <si>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r>
      <t>Coherence validation:</t>
    </r>
    <r>
      <rPr>
        <sz val="10"/>
        <color indexed="18"/>
        <rFont val="Arial"/>
        <family val="2"/>
      </rPr>
      <t xml:space="preserve"> check of coherence between variables within the questionnaire or compared to data from outside sources. Cases are flagged if values are not within expected ranges.</t>
    </r>
  </si>
  <si>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</si>
  <si>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</si>
  <si>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</si>
  <si>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</si>
  <si>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</si>
  <si>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</si>
  <si>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</si>
  <si>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</si>
  <si>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</si>
  <si>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</si>
  <si>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</si>
  <si>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</si>
  <si>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Secondary treatment</t>
  </si>
  <si>
    <t>Tertiary treatment</t>
  </si>
  <si>
    <t>Wastewater treated in other treatment plants</t>
  </si>
  <si>
    <t>Wastewater treated in independent treatment facilities</t>
  </si>
  <si>
    <t xml:space="preserve">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</si>
  <si>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</si>
  <si>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</si>
  <si>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</si>
  <si>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</si>
  <si>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</si>
  <si>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</si>
  <si>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</si>
  <si>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</si>
  <si>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</si>
  <si>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</si>
  <si>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</si>
  <si>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</si>
  <si>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</si>
  <si>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</si>
  <si>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</si>
  <si>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</si>
  <si>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</si>
  <si>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</si>
  <si>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</si>
  <si>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t xml:space="preserve">The volume of water lost during transport between a point of abstraction and a point of use, and between points of use and reuse.  Includes leakages and evaporation. </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</si>
  <si>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</si>
  <si>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</si>
  <si>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</si>
  <si>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</si>
  <si>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</si>
  <si>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</si>
  <si>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</si>
  <si>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</si>
  <si>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</si>
  <si>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</si>
  <si>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</si>
  <si>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</si>
  <si>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</si>
  <si>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</si>
  <si>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</si>
  <si>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</si>
  <si>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</si>
  <si>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Secondary wastewater treatment</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</si>
  <si>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</si>
  <si>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</si>
  <si>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</si>
  <si>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</si>
  <si>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</si>
  <si>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</si>
  <si>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</si>
  <si>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</si>
  <si>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</si>
  <si>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</si>
  <si>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by mail: UN Statistics Division, Environment Statistics Section, DC2-1416, 2 United Nations Plaza,  New York, New York, 10017, USA </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</si>
  <si>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</si>
  <si>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</si>
  <si>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</si>
  <si>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</si>
  <si>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</si>
  <si>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</si>
  <si>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</si>
  <si>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</si>
  <si>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</si>
  <si>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</si>
  <si>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</si>
  <si>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</si>
  <si>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</si>
  <si>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</si>
  <si>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</si>
  <si>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</si>
  <si>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</si>
  <si>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</si>
  <si>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</si>
  <si>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</si>
  <si>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</si>
  <si>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</si>
  <si>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</si>
  <si>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</si>
  <si>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</si>
  <si>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</si>
  <si>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</si>
  <si>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</si>
  <si>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</si>
  <si>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</si>
  <si>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</si>
  <si>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</si>
  <si>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</si>
  <si>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</si>
  <si>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</si>
  <si>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</si>
  <si>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</si>
  <si>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</si>
  <si>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</si>
  <si>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</si>
  <si>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</si>
  <si>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</si>
  <si>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</si>
  <si>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</si>
  <si>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</si>
  <si>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</si>
  <si>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</si>
  <si>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</si>
  <si>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W2, 21</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</si>
  <si>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</si>
  <si>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</si>
  <si>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</si>
  <si>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</si>
  <si>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r>
      <t xml:space="preserve"> </t>
    </r>
    <r>
      <rPr>
        <sz val="10"/>
        <rFont val="Arial"/>
        <family val="2"/>
      </rPr>
      <t>= Freshwater abstracted + Desalinated water + Reused water + Imports of water - Exports of water.</t>
    </r>
  </si>
  <si>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</si>
  <si>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</si>
  <si>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</si>
  <si>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</si>
  <si>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</si>
  <si>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</si>
  <si>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</si>
  <si>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</si>
  <si>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Actual outflow of rivers and groundwater into the sea.</t>
  </si>
  <si>
    <t>Actual outflow of rivers and groundwater into neighbouring countries.</t>
  </si>
  <si>
    <t>Arithmetic average over at least 30 consecutive years.  Please provide average over available period and indicate the length of the time period in the footnotes.</t>
  </si>
  <si>
    <t>Fresh surface water abstracted</t>
  </si>
  <si>
    <t xml:space="preserve">W2, 1 </t>
  </si>
  <si>
    <t>W2, 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</si>
  <si>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</si>
  <si>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</si>
  <si>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</si>
  <si>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</si>
  <si>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</si>
  <si>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Percentage of the total resident population using water supplied by the water supply industry (ISIC 36). </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</si>
  <si>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</si>
  <si>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</si>
  <si>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</si>
  <si>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</si>
  <si>
    <r>
      <t xml:space="preserve">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</si>
  <si>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t>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</si>
  <si>
    <t xml:space="preserve">Water removed from any surface water sources, such as rivers, lakes, reservoirs or rainwater, either permanently or temporarily. </t>
  </si>
  <si>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</si>
  <si>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</si>
  <si>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</si>
  <si>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</si>
  <si>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</si>
  <si>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</si>
  <si>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</si>
  <si>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</si>
  <si>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</si>
  <si>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</si>
  <si>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</si>
  <si>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</si>
  <si>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</si>
  <si>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</si>
  <si>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</si>
  <si>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</si>
  <si>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</si>
  <si>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</si>
  <si>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</si>
  <si>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</si>
  <si>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</si>
  <si>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</si>
  <si>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</si>
  <si>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</si>
  <si>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</si>
  <si>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</si>
  <si>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</si>
  <si>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</si>
  <si>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</si>
  <si>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</si>
  <si>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</si>
  <si>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</si>
  <si>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</si>
  <si>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</si>
  <si>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</si>
  <si>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Excluding wastewater generated by ISIC 37 (Sewerage).</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</si>
  <si>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</si>
  <si>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</si>
  <si>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</si>
  <si>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</si>
  <si>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</si>
  <si>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</si>
  <si>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</si>
  <si>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</si>
  <si>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</si>
  <si>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</si>
  <si>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</si>
  <si>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</si>
  <si>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</si>
  <si>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</si>
  <si>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</si>
  <si>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</si>
  <si>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</si>
  <si>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</si>
  <si>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</si>
  <si>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</si>
  <si>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</si>
  <si>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</si>
  <si>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</si>
  <si>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</si>
  <si>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r>
      <t>Of which:</t>
    </r>
    <r>
      <rPr>
        <sz val="8"/>
        <rFont val="Arial"/>
        <family val="2"/>
      </rPr>
      <t xml:space="preserve">
     Secured by treaties</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</si>
  <si>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</si>
  <si>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</si>
  <si>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</si>
  <si>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</si>
  <si>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</si>
  <si>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</si>
  <si>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</si>
  <si>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</si>
  <si>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</si>
  <si>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 xml:space="preserve">To </t>
  </si>
  <si>
    <t>Multiply by</t>
  </si>
  <si>
    <t>Precipitation</t>
  </si>
  <si>
    <t>Desalinated water</t>
  </si>
  <si>
    <t>Line</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</si>
  <si>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</si>
  <si>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</si>
  <si>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</si>
  <si>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</si>
  <si>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</si>
  <si>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</si>
  <si>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</si>
  <si>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</si>
  <si>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</si>
  <si>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</si>
  <si>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</si>
  <si>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</si>
  <si>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</si>
  <si>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</si>
  <si>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</si>
  <si>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</si>
  <si>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</si>
  <si>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</si>
  <si>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</si>
  <si>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</si>
  <si>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</si>
  <si>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</si>
  <si>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</si>
  <si>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</si>
  <si>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</si>
  <si>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</si>
  <si>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</si>
  <si>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</si>
  <si>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</si>
  <si>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</si>
  <si>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</si>
  <si>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 xml:space="preserve">Total volume of actual external inflow of rivers and groundwater, coming from neighbouring countries.  Boundary waters should be divided 50/50 between the two riparian countries, unless other water sharing agreements exist. </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</si>
  <si>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</si>
  <si>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</si>
  <si>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</si>
  <si>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</si>
  <si>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</si>
  <si>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</si>
  <si>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</si>
  <si>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</si>
  <si>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</si>
  <si>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</si>
  <si>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</si>
  <si>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</si>
  <si>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</si>
  <si>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</si>
  <si>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</si>
  <si>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</si>
  <si>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</si>
  <si>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</si>
  <si>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</si>
  <si>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</si>
  <si>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</si>
  <si>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</si>
  <si>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</si>
  <si>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</si>
  <si>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</si>
  <si>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</si>
  <si>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</si>
  <si>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</si>
  <si>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</si>
  <si>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</si>
  <si>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</si>
  <si>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</si>
  <si>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</si>
  <si>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</si>
  <si>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</si>
  <si>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</si>
  <si>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</si>
  <si>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</si>
  <si>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</si>
  <si>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</si>
  <si>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</si>
  <si>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</si>
  <si>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</si>
  <si>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</si>
  <si>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</si>
  <si>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</si>
  <si>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</si>
  <si>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</si>
  <si>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</si>
  <si>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</si>
  <si>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</si>
  <si>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</si>
  <si>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</si>
  <si>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</si>
  <si>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</si>
  <si>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</si>
  <si>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</si>
  <si>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</si>
  <si>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</si>
  <si>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</si>
  <si>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</si>
  <si>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</si>
  <si>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</si>
  <si>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</si>
  <si>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</si>
  <si>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</si>
  <si>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</si>
  <si>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</si>
  <si>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</si>
  <si>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</si>
  <si>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</si>
  <si>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</si>
  <si>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</si>
  <si>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</si>
  <si>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</si>
  <si>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</si>
  <si>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</si>
  <si>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</si>
  <si>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</si>
  <si>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</si>
  <si>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</si>
  <si>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</si>
  <si>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</si>
  <si>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</si>
  <si>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</si>
  <si>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</si>
  <si>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</si>
  <si>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</si>
  <si>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</si>
  <si>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</si>
  <si>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</si>
  <si>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</si>
  <si>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</si>
  <si>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</si>
  <si>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</si>
  <si>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</si>
  <si>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</si>
  <si>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</si>
  <si>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</si>
  <si>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</si>
  <si>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</si>
  <si>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</si>
  <si>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</si>
  <si>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</si>
  <si>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</si>
  <si>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</si>
  <si>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</si>
  <si>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</si>
  <si>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</si>
  <si>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</si>
  <si>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</si>
  <si>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</si>
  <si>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</si>
  <si>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</si>
  <si>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</si>
  <si>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</si>
  <si>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</si>
  <si>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</si>
  <si>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</si>
  <si>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</si>
  <si>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</si>
  <si>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Freshwater abstracted</t>
  </si>
  <si>
    <t>Total volume of water obtained from desalination of (i.e., removal of salt from) seawater and brackish water.</t>
  </si>
  <si>
    <t>Russian Federation</t>
  </si>
  <si>
    <t>Rwanda</t>
  </si>
  <si>
    <t>Saint Helena</t>
  </si>
  <si>
    <t>Saint Kitts and Nevis</t>
  </si>
  <si>
    <t>Saint Lucia</t>
  </si>
  <si>
    <t>Samoa</t>
  </si>
  <si>
    <t>by:
       Agriculture, forestry and fishing ISIC (01-03)</t>
  </si>
  <si>
    <r>
      <t>Of which:</t>
    </r>
    <r>
      <rPr>
        <sz val="8"/>
        <rFont val="Arial"/>
        <family val="2"/>
      </rPr>
      <t xml:space="preserve">
    Primary treatment</t>
    </r>
  </si>
  <si>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</si>
  <si>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</si>
  <si>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</si>
  <si>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</si>
  <si>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</si>
  <si>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</si>
  <si>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</si>
  <si>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</si>
  <si>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</si>
  <si>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</si>
  <si>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</si>
  <si>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</si>
  <si>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</si>
  <si>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</si>
  <si>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</si>
  <si>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</si>
  <si>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</si>
  <si>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</si>
  <si>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</si>
  <si>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</si>
  <si>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</si>
  <si>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</si>
  <si>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</si>
  <si>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</si>
  <si>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</si>
  <si>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</si>
  <si>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</si>
  <si>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</si>
  <si>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</si>
  <si>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</si>
  <si>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</si>
  <si>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</si>
  <si>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</si>
  <si>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</si>
  <si>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</si>
  <si>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</si>
  <si>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</si>
  <si>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</si>
  <si>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</si>
  <si>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</si>
  <si>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</si>
  <si>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</si>
  <si>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</si>
  <si>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</si>
  <si>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</si>
  <si>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</si>
  <si>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</si>
  <si>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</si>
  <si>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</si>
  <si>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</si>
  <si>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</si>
  <si>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</si>
  <si>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</si>
  <si>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</si>
  <si>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</si>
  <si>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</si>
  <si>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 xml:space="preserve">by phone: Reena Shah at +1 (212) 963-4586, or Marcus Newbury +1 (212) 963-0092, or David Rausis at +1 (917) 367-5892, or Robin Carrington at +1 (212) 963-6234. </t>
  </si>
  <si>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</si>
  <si>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</si>
  <si>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</si>
  <si>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</si>
  <si>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</si>
  <si>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</si>
  <si>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</si>
  <si>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</si>
  <si>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</si>
  <si>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</si>
  <si>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QUESTIONNAIRE 2018 ON ENVIRONMENT STATISTICS</t>
  </si>
  <si>
    <t>A useful reference against which water resources data can be compared is the FAO Aquastat database: http://www.fao.org/nr/water/aquastat/data/query/index.html?lang=en.</t>
  </si>
  <si>
    <t>of which
used by:</t>
  </si>
  <si>
    <t>Electricity, gas, steam and air conditioning supply  (ISIC 35)</t>
  </si>
  <si>
    <t>Construction (ISIC 41-43)</t>
  </si>
  <si>
    <t xml:space="preserve">    Mining and quarrying (ISIC 05-09)</t>
  </si>
  <si>
    <t>Mining and quarrying (ISIC 05-09)</t>
  </si>
  <si>
    <t xml:space="preserve">    Electricity, gas, steam and air conditioning supply  (ISIC 35)</t>
  </si>
  <si>
    <t xml:space="preserve">   Electricity, gas, steam and air conditioning supply  (ISIC 35)</t>
  </si>
  <si>
    <r>
      <t>B</t>
    </r>
    <r>
      <rPr>
        <b/>
        <sz val="10"/>
        <rFont val="Arial"/>
        <family val="2"/>
      </rPr>
      <t xml:space="preserve"> 05-09</t>
    </r>
  </si>
  <si>
    <t>Mining and quarrying</t>
  </si>
  <si>
    <r>
      <t>Mining and quarrying</t>
    </r>
    <r>
      <rPr>
        <sz val="10"/>
        <rFont val="Arial"/>
        <family val="2"/>
      </rPr>
      <t xml:space="preserve"> includes the extraction of minerals occurring naturally as solids (coal and ores), liquids
(petroleum) or gases (natural gas). Extraction can be achieved by different methods such as
underground or surface mining, well operation, seabed mining etc.</t>
    </r>
  </si>
  <si>
    <r>
      <rPr>
        <b/>
        <u val="single"/>
        <sz val="10"/>
        <rFont val="Arial"/>
        <family val="2"/>
      </rPr>
      <t>D</t>
    </r>
    <r>
      <rPr>
        <b/>
        <sz val="10"/>
        <rFont val="Arial"/>
        <family val="2"/>
      </rPr>
      <t xml:space="preserve"> 35</t>
    </r>
  </si>
  <si>
    <t>Electricity, gas, steam and air conditioning supply</t>
  </si>
  <si>
    <r>
      <rPr>
        <b/>
        <sz val="10"/>
        <rFont val="Arial"/>
        <family val="2"/>
      </rPr>
      <t>Electricity, gas, steam and air conditioning supply</t>
    </r>
    <r>
      <rPr>
        <sz val="10"/>
        <rFont val="Arial"/>
        <family val="2"/>
      </rPr>
      <t xml:space="preserve">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t>
    </r>
  </si>
  <si>
    <r>
      <rPr>
        <b/>
        <u val="single"/>
        <sz val="10"/>
        <rFont val="Arial"/>
        <family val="2"/>
      </rPr>
      <t>F</t>
    </r>
    <r>
      <rPr>
        <b/>
        <sz val="10"/>
        <rFont val="Arial"/>
        <family val="2"/>
      </rPr>
      <t xml:space="preserve"> 41-43</t>
    </r>
  </si>
  <si>
    <t>Construction</t>
  </si>
  <si>
    <r>
      <rPr>
        <b/>
        <sz val="10"/>
        <rFont val="Arial"/>
        <family val="2"/>
      </rP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 </t>
    </r>
  </si>
  <si>
    <t>Group  351</t>
  </si>
  <si>
    <r>
      <t>(Freshwater abstracted by)</t>
    </r>
    <r>
      <rPr>
        <b/>
        <sz val="10"/>
        <rFont val="Arial"/>
        <family val="2"/>
      </rPr>
      <t xml:space="preserve"> Mining and quarrying (ISIC 05-09)</t>
    </r>
  </si>
  <si>
    <r>
      <t>(Freshwater abstracted by)</t>
    </r>
    <r>
      <rPr>
        <b/>
        <sz val="10"/>
        <rFont val="Arial"/>
        <family val="2"/>
      </rPr>
      <t xml:space="preserve"> Electricity, gas, steam and air conditioning supply (ISIC 35)</t>
    </r>
  </si>
  <si>
    <r>
      <t>(Freshwater abstracted by)</t>
    </r>
    <r>
      <rPr>
        <b/>
        <sz val="10"/>
        <rFont val="Arial"/>
        <family val="2"/>
      </rPr>
      <t xml:space="preserve"> Construction (ISIC 41-43)</t>
    </r>
  </si>
  <si>
    <t xml:space="preserve">W2, 19 &amp; W3, 2
</t>
  </si>
  <si>
    <t>W2, 25</t>
  </si>
  <si>
    <t>W2, 27</t>
  </si>
  <si>
    <t>W2, 29</t>
  </si>
  <si>
    <t>Total freshwater available for use (=3+14+15+16-17)</t>
  </si>
  <si>
    <t>Total freshwater use (=18-19)</t>
  </si>
  <si>
    <r>
      <t xml:space="preserve">Net freshwater supplied by water supply industry (ISIC 36) </t>
    </r>
    <r>
      <rPr>
        <sz val="8"/>
        <rFont val="Arial"/>
        <family val="2"/>
      </rPr>
      <t xml:space="preserve"> </t>
    </r>
    <r>
      <rPr>
        <b/>
        <sz val="8"/>
        <rFont val="Arial"/>
        <family val="2"/>
      </rPr>
      <t>(=1-2) (=4+5+6+7+8+10+11)</t>
    </r>
  </si>
  <si>
    <t>W3, 12</t>
  </si>
  <si>
    <t>W3, 13</t>
  </si>
  <si>
    <t>W3, 14</t>
  </si>
  <si>
    <t>The volume of water directly abstracted from surface water sources (rivers, lakes, reservoirs etc., including the volume of rainwater collected) and groundwater sources by economic units belonging to ISIC 05-09 for own use.</t>
  </si>
  <si>
    <t>The volume of water directly abstracted from surface water sources (rivers, lakes, reservoirs etc., including the volume of rainwater collected) and groundwater sources by economic units belonging to ISIC 41-43 for own use.</t>
  </si>
  <si>
    <t>W2, 24</t>
  </si>
  <si>
    <r>
      <t xml:space="preserve">(Freshwater used by) </t>
    </r>
    <r>
      <rPr>
        <b/>
        <sz val="10"/>
        <rFont val="Arial"/>
        <family val="2"/>
      </rPr>
      <t>Mining and quarrying (ISIC 05-09)</t>
    </r>
  </si>
  <si>
    <t>W2, 26</t>
  </si>
  <si>
    <r>
      <t xml:space="preserve">(Freshwater used by) </t>
    </r>
    <r>
      <rPr>
        <b/>
        <sz val="10"/>
        <rFont val="Arial"/>
        <family val="2"/>
      </rPr>
      <t>Electricity, gas, steam and air conditioning supply (ISIC 35)</t>
    </r>
  </si>
  <si>
    <t>W2, 28</t>
  </si>
  <si>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</si>
  <si>
    <t>Changes from the UNSD/UNEP Questionnaire 2016 on Environment Statistics</t>
  </si>
  <si>
    <t>Electric power generation, transmission and distribution</t>
  </si>
  <si>
    <r>
      <t xml:space="preserve">Electric power generation, transmission and distribution </t>
    </r>
    <r>
      <rPr>
        <sz val="10"/>
        <rFont val="Arial"/>
        <family val="2"/>
      </rPr>
      <t xml:space="preserve">includes the generation of bulk electric power, transmission from generating facilities to distribution centers and distribution to end users. </t>
    </r>
    <r>
      <rPr>
        <b/>
        <sz val="10"/>
        <rFont val="Arial"/>
        <family val="2"/>
      </rPr>
      <t xml:space="preserve">
</t>
    </r>
  </si>
  <si>
    <t>W2, 7 &amp; W2, 23</t>
  </si>
  <si>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</si>
  <si>
    <t>W4, 8</t>
  </si>
  <si>
    <t>W4, 10</t>
  </si>
  <si>
    <t>W4, 14</t>
  </si>
  <si>
    <t>W4, 11 &amp; W4, 15</t>
  </si>
  <si>
    <t>W4, 12 &amp; W4, 16</t>
  </si>
  <si>
    <t>W4, 13 &amp; W4, 17</t>
  </si>
  <si>
    <t>W4, 18</t>
  </si>
  <si>
    <t>W4, 20</t>
  </si>
  <si>
    <t>This questionnaire uses the International Standard Industrial Classification of All Economic Activities (ISIC Rev. 4) to attribute water abstraction and use to economic activities. The codes used in this questionnaire are listed below. For the full classification, see https://unstats.un.org/unsd/publications/catalogue?selectID=396.</t>
  </si>
  <si>
    <r>
      <rPr>
        <i/>
        <sz val="8"/>
        <rFont val="Arial"/>
        <family val="2"/>
      </rPr>
      <t xml:space="preserve">of which to:
</t>
    </r>
    <r>
      <rPr>
        <sz val="8"/>
        <rFont val="Arial"/>
        <family val="2"/>
      </rPr>
      <t>Electric power generation, transmission and distribution (ISIC 351)</t>
    </r>
  </si>
  <si>
    <r>
      <t>(Freshwater abstracted by)</t>
    </r>
    <r>
      <rPr>
        <b/>
        <sz val="10"/>
        <rFont val="Arial"/>
        <family val="2"/>
      </rPr>
      <t xml:space="preserve"> Electric power generation, transmission and distribution (ISIC 351)</t>
    </r>
  </si>
  <si>
    <r>
      <t>W2, 15</t>
    </r>
    <r>
      <rPr>
        <b/>
        <sz val="10"/>
        <rFont val="Arial"/>
        <family val="2"/>
      </rPr>
      <t xml:space="preserve">
</t>
    </r>
  </si>
  <si>
    <t>Wastewater is water which is of no further value to the purpose for which it was used because of its quality, quantity or time of occurrence.  Total wastewater generated is the total volume of wastewater generated by economic activities (agriculture, forestry and fishing; mining and quarrying; manufacturing; electricity, gas, steam and air conditionning supply; construction; and other economic activities) and households. Cooling water is excluded.</t>
  </si>
  <si>
    <t>The volume of water used for economic activities belonging to mining and quarrying (ISIC 05-09), either directly abstracted from water sources for own use or supplied by the water supply industry.</t>
  </si>
  <si>
    <r>
      <t xml:space="preserve">(Freshwater used by) </t>
    </r>
    <r>
      <rPr>
        <b/>
        <sz val="10"/>
        <rFont val="Arial"/>
        <family val="2"/>
      </rPr>
      <t>Construction (ISIC 41-43)</t>
    </r>
  </si>
  <si>
    <t>of which for: 
Irrigation in agriculture</t>
  </si>
  <si>
    <t>of which for:
Electric power generation, transmission and distribution (ISIC 351)</t>
  </si>
  <si>
    <t xml:space="preserve">        of which for: 
        Irrigation in agriculture</t>
  </si>
  <si>
    <t xml:space="preserve">    of which for:
    Electric power generation, transmission and distribution (ISIC 351)</t>
  </si>
  <si>
    <t>Line 3=30</t>
  </si>
  <si>
    <t>Line 3+14+15+16-17</t>
  </si>
  <si>
    <t>Line 14=31</t>
  </si>
  <si>
    <t>Freshwater abstracted 
(=4+5+6+8+9+10+12+13)</t>
  </si>
  <si>
    <t>Line 4+5+6+8+9+10+12+13</t>
  </si>
  <si>
    <t>Line 11=32</t>
  </si>
  <si>
    <t>Line 18-19</t>
  </si>
  <si>
    <t>Line 20=33</t>
  </si>
  <si>
    <t>Line 3=15</t>
  </si>
  <si>
    <t>Line 4+5+6+7+8+10+11</t>
  </si>
  <si>
    <t>Line 3=16</t>
  </si>
  <si>
    <t>Line 14 &lt; 12 &lt; 13</t>
  </si>
  <si>
    <t>1000 m3/d</t>
  </si>
  <si>
    <t>of which by:
Electric power generation, transmission and distribution (ISIC 351)</t>
  </si>
  <si>
    <t>Of which:
    Primary treatment</t>
  </si>
  <si>
    <t>Line 21=2+3+4+5+7+8+9</t>
  </si>
  <si>
    <t>Line 1=21</t>
  </si>
  <si>
    <t>Line 22=10+14+18+19</t>
  </si>
  <si>
    <t>Line 1=22</t>
  </si>
  <si>
    <t>Line 23=11+12+13</t>
  </si>
  <si>
    <t>Line 10=23</t>
  </si>
  <si>
    <t>Line 24=15+16+17</t>
  </si>
  <si>
    <t>Additional variables have been added to tables W2: Freshwater Abstraction and Use; W3: Water Supply Industry (ISIC 36); and W4: Wastewater Generation and Treatment. All additional variables are breakdowns of various industries from the International Standard Industrial Classification of All Economic Activities (ISIC Rev. 4), and have been added per Sustainable Development Goal (SDG) agenda policy demand.</t>
  </si>
  <si>
    <r>
      <t xml:space="preserve">Diagrams have been developed by UNSD to demonstrate the relationships between variables in Tables W1, W2, W3 and W4.  </t>
    </r>
    <r>
      <rPr>
        <sz val="10"/>
        <rFont val="Arial"/>
        <family val="2"/>
      </rPr>
      <t xml:space="preserve">Respondents are encouraged to use the diagrams for clarifications on the concepts underlying the data requested in this questionnaire. </t>
    </r>
  </si>
  <si>
    <t>Copies of the questionnaire are available online at https://unstats.un.org/unsd/envstats/questionnaire.  Data from previous data collections are available at https://unstats.un.org/unsd/envstats/qindicators.cshtml.</t>
  </si>
  <si>
    <r>
      <t>E</t>
    </r>
    <r>
      <rPr>
        <b/>
        <sz val="10"/>
        <rFont val="Arial"/>
        <family val="2"/>
      </rPr>
      <t xml:space="preserve"> 37</t>
    </r>
  </si>
  <si>
    <t>Irrigation in agriculture</t>
  </si>
  <si>
    <r>
      <rPr>
        <i/>
        <sz val="8"/>
        <rFont val="Arial"/>
        <family val="2"/>
      </rPr>
      <t>of which for:</t>
    </r>
    <r>
      <rPr>
        <sz val="8"/>
        <rFont val="Arial"/>
        <family val="2"/>
      </rPr>
      <t xml:space="preserve"> Irrigation in agriculture</t>
    </r>
  </si>
  <si>
    <r>
      <rPr>
        <i/>
        <sz val="8"/>
        <rFont val="Arial"/>
        <family val="2"/>
      </rPr>
      <t xml:space="preserve">of which for: </t>
    </r>
    <r>
      <rPr>
        <sz val="8"/>
        <rFont val="Arial"/>
        <family val="2"/>
      </rPr>
      <t>Electric power generation, transmission and distribution (ISIC 351)</t>
    </r>
  </si>
  <si>
    <t>United Nations Statistics Division (UNSD) and United Nations Environment Programme</t>
  </si>
  <si>
    <t>by:
     Agriculture, forestry and fishing ISIC (01-03)</t>
  </si>
  <si>
    <t xml:space="preserve">     Mining and quarrying (ISIC 05-09)</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</si>
  <si>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</si>
  <si>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 xml:space="preserve">Where a country has provided data to previous UNSD/United Nations Environment Programme Questionnaires on Environment Statistics, the 2018 Questionnaire has been pre-filled with these data. Countries are requested to add data for later years and to check the time series for consistency. </t>
  </si>
  <si>
    <t>Tables are pre-filled with data received from previous UNSD/United Nations Environment Programme Questionnaires.  Check the pre-filled data and, if possible, kindly update in the table.  Check the pre-filled footnotes and correct them if necessary.</t>
  </si>
  <si>
    <r>
      <rPr>
        <i/>
        <sz val="8"/>
        <rFont val="Arial"/>
        <family val="2"/>
      </rPr>
      <t xml:space="preserve">of which by: 
</t>
    </r>
    <r>
      <rPr>
        <sz val="8"/>
        <rFont val="Arial"/>
        <family val="2"/>
      </rPr>
      <t>Electric power generation, transmission and distribution (ISIC 351)</t>
    </r>
  </si>
  <si>
    <t>The volume of water used for economic activities belonging to construction (ISIC 41-43), either directly abstracted from water sources for own use or supplied by the water supply industry.</t>
  </si>
  <si>
    <r>
      <rPr>
        <i/>
        <sz val="8"/>
        <rFont val="Arial"/>
        <family val="2"/>
      </rPr>
      <t xml:space="preserve">of which for:  </t>
    </r>
    <r>
      <rPr>
        <sz val="8"/>
        <rFont val="Arial"/>
        <family val="2"/>
      </rPr>
      <t>Electric power generation, transmission and distribution (ISIC 351)</t>
    </r>
  </si>
  <si>
    <r>
      <rPr>
        <i/>
        <sz val="8"/>
        <rFont val="Arial"/>
        <family val="2"/>
      </rPr>
      <t xml:space="preserve">of which for:  </t>
    </r>
    <r>
      <rPr>
        <sz val="8"/>
        <rFont val="Arial"/>
        <family val="2"/>
      </rPr>
      <t>Irrigation in agriculture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</si>
</sst>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8">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trike/>
      <sz val="10"/>
      <name val="Arial"/>
      <family val="2"/>
    </font>
    <font>
      <b/>
      <sz val="10"/>
      <color indexed="10"/>
      <name val="Times New Roman"/>
      <family val="1"/>
    </font>
    <font>
      <sz val="10"/>
      <name val="Tahoma"/>
      <family val="2"/>
    </font>
    <font>
      <b/>
      <sz val="8"/>
      <color indexed="8"/>
      <name val="Arial"/>
      <family val="2"/>
    </font>
    <font>
      <sz val="12"/>
      <name val="Times New Roman"/>
      <family val="1"/>
    </font>
    <font>
      <b/>
      <sz val="6"/>
      <color indexed="10"/>
      <name val="Arial"/>
      <family val="2"/>
    </font>
    <font>
      <b/>
      <sz val="13"/>
      <name val="Arial"/>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8"/>
      <color indexed="10"/>
      <name val="Times New Roman"/>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8"/>
      <color rgb="FFFF0000"/>
      <name val="Arial"/>
      <family val="2"/>
    </font>
    <font>
      <sz val="8"/>
      <color rgb="FFFF0000"/>
      <name val="Times New Roman"/>
      <family val="1"/>
    </font>
    <font>
      <sz val="10"/>
      <color rgb="FFFF0000"/>
      <name val="Times New Roman"/>
      <family val="1"/>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indexed="44"/>
        <bgColor indexed="64"/>
      </patternFill>
    </fill>
    <fill>
      <patternFill patternType="solid">
        <fgColor rgb="FFFFFF99"/>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style="thin"/>
      <right>
        <color indexed="63"/>
      </right>
      <top>
        <color indexed="63"/>
      </top>
      <bottom>
        <color indexed="63"/>
      </bottom>
    </border>
    <border>
      <left style="hair">
        <color indexed="8"/>
      </left>
      <right style="hair">
        <color indexed="8"/>
      </right>
      <top style="thin">
        <color indexed="8"/>
      </top>
      <bottom style="thin">
        <color indexed="8"/>
      </bottom>
    </border>
    <border>
      <left>
        <color indexed="63"/>
      </left>
      <right style="medium"/>
      <top style="thin"/>
      <bottom>
        <color indexed="63"/>
      </bottom>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color indexed="63"/>
      </left>
      <right style="thin"/>
      <top style="hair"/>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hair"/>
      <bottom style="hair"/>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0"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9" fillId="25" borderId="0" applyNumberFormat="0" applyBorder="0" applyAlignment="0" applyProtection="0"/>
    <xf numFmtId="0" fontId="90" fillId="26" borderId="1" applyNumberFormat="0" applyAlignment="0" applyProtection="0"/>
    <xf numFmtId="0" fontId="9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12" fillId="0" borderId="0" applyNumberFormat="0" applyFill="0" applyBorder="0" applyAlignment="0" applyProtection="0"/>
    <xf numFmtId="0" fontId="93" fillId="28"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11" fillId="0" borderId="0" applyNumberFormat="0" applyFill="0" applyBorder="0" applyAlignment="0" applyProtection="0"/>
    <xf numFmtId="0" fontId="97" fillId="29" borderId="1" applyNumberFormat="0" applyAlignment="0" applyProtection="0"/>
    <xf numFmtId="0" fontId="98" fillId="0" borderId="6" applyNumberFormat="0" applyFill="0" applyAlignment="0" applyProtection="0"/>
    <xf numFmtId="0" fontId="99" fillId="30" borderId="0" applyNumberFormat="0" applyBorder="0" applyAlignment="0" applyProtection="0"/>
    <xf numFmtId="0" fontId="87" fillId="0" borderId="0">
      <alignment/>
      <protection/>
    </xf>
    <xf numFmtId="0" fontId="0" fillId="0" borderId="0">
      <alignment/>
      <protection/>
    </xf>
    <xf numFmtId="0" fontId="47" fillId="0" borderId="0">
      <alignment/>
      <protection/>
    </xf>
    <xf numFmtId="0" fontId="0" fillId="31" borderId="7" applyNumberFormat="0" applyFont="0" applyAlignment="0" applyProtection="0"/>
    <xf numFmtId="0" fontId="100" fillId="26" borderId="8"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877">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8"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8"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0" fillId="33" borderId="0" xfId="0" applyFont="1" applyFill="1" applyAlignment="1">
      <alignment/>
    </xf>
    <xf numFmtId="0" fontId="0" fillId="33" borderId="0" xfId="0" applyFill="1" applyAlignment="1">
      <alignment vertical="center" wrapText="1"/>
    </xf>
    <xf numFmtId="0" fontId="8" fillId="33"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38" fillId="34" borderId="12" xfId="0" applyFont="1" applyFill="1" applyBorder="1" applyAlignment="1">
      <alignment/>
    </xf>
    <xf numFmtId="0" fontId="0" fillId="34" borderId="12" xfId="0" applyFill="1" applyBorder="1" applyAlignment="1">
      <alignment/>
    </xf>
    <xf numFmtId="0" fontId="39"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8" fillId="35" borderId="27"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wrapText="1"/>
      <protection/>
    </xf>
    <xf numFmtId="0" fontId="8" fillId="35" borderId="29" xfId="0" applyFont="1" applyFill="1" applyBorder="1" applyAlignment="1" applyProtection="1">
      <alignment horizontal="center" vertical="center"/>
      <protection/>
    </xf>
    <xf numFmtId="0" fontId="8" fillId="35" borderId="29" xfId="0" applyFont="1" applyFill="1" applyBorder="1" applyAlignment="1" applyProtection="1">
      <alignment horizontal="center" vertical="center" wrapText="1"/>
      <protection/>
    </xf>
    <xf numFmtId="0" fontId="8" fillId="33"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3"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5" borderId="28"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8" fillId="35" borderId="27" xfId="0" applyFont="1" applyFill="1" applyBorder="1" applyAlignment="1" applyProtection="1">
      <alignment horizontal="center" vertical="center"/>
      <protection/>
    </xf>
    <xf numFmtId="0" fontId="8" fillId="35" borderId="28" xfId="0" applyFont="1" applyFill="1" applyBorder="1" applyAlignment="1" applyProtection="1">
      <alignment horizontal="center"/>
      <protection/>
    </xf>
    <xf numFmtId="0" fontId="56" fillId="0" borderId="0" xfId="0" applyFont="1" applyFill="1" applyAlignment="1">
      <alignment vertical="top"/>
    </xf>
    <xf numFmtId="0" fontId="3" fillId="0" borderId="0" xfId="0" applyFont="1" applyFill="1" applyAlignment="1">
      <alignment horizontal="center" vertical="top"/>
    </xf>
    <xf numFmtId="0" fontId="27" fillId="0" borderId="0" xfId="0" applyFont="1" applyFill="1" applyAlignment="1">
      <alignment horizontal="center"/>
    </xf>
    <xf numFmtId="0" fontId="57" fillId="0" borderId="0" xfId="0" applyFont="1" applyFill="1" applyAlignment="1">
      <alignment/>
    </xf>
    <xf numFmtId="0" fontId="57" fillId="0" borderId="0" xfId="0" applyFont="1" applyFill="1" applyBorder="1" applyAlignment="1">
      <alignment vertical="top" wrapText="1"/>
    </xf>
    <xf numFmtId="0" fontId="57"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59"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31" xfId="0" applyFont="1" applyFill="1" applyBorder="1" applyAlignment="1">
      <alignment vertical="top" wrapText="1"/>
    </xf>
    <xf numFmtId="0" fontId="3" fillId="0" borderId="0" xfId="0" applyFont="1" applyFill="1" applyBorder="1" applyAlignment="1">
      <alignment horizontal="center" vertical="center"/>
    </xf>
    <xf numFmtId="0" fontId="8" fillId="35" borderId="0" xfId="0" applyFont="1" applyFill="1" applyBorder="1" applyAlignment="1" applyProtection="1">
      <alignment horizontal="center" vertical="center" wrapText="1"/>
      <protection/>
    </xf>
    <xf numFmtId="0" fontId="8" fillId="35" borderId="32" xfId="0" applyFont="1" applyFill="1" applyBorder="1" applyAlignment="1" applyProtection="1">
      <alignment horizontal="center" vertical="center"/>
      <protection/>
    </xf>
    <xf numFmtId="0" fontId="8" fillId="35" borderId="33" xfId="0" applyFont="1" applyFill="1" applyBorder="1" applyAlignment="1" applyProtection="1">
      <alignment horizontal="center" vertical="center"/>
      <protection/>
    </xf>
    <xf numFmtId="0" fontId="8" fillId="35" borderId="34" xfId="0" applyFont="1" applyFill="1" applyBorder="1" applyAlignment="1" applyProtection="1">
      <alignment horizontal="center" vertical="center"/>
      <protection/>
    </xf>
    <xf numFmtId="0" fontId="0" fillId="0" borderId="0" xfId="0" applyFont="1" applyFill="1" applyAlignment="1">
      <alignment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5"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30" xfId="0" applyFont="1" applyFill="1" applyBorder="1" applyAlignment="1">
      <alignment horizontal="center" vertical="top" wrapText="1"/>
    </xf>
    <xf numFmtId="0" fontId="2" fillId="0" borderId="30" xfId="0" applyFont="1" applyFill="1" applyBorder="1" applyAlignment="1">
      <alignment horizontal="center"/>
    </xf>
    <xf numFmtId="0" fontId="2" fillId="0" borderId="36" xfId="0" applyFont="1" applyFill="1" applyBorder="1" applyAlignment="1">
      <alignment horizontal="center"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 fillId="0" borderId="40" xfId="0" applyFont="1" applyFill="1" applyBorder="1" applyAlignment="1">
      <alignment vertical="top" wrapText="1"/>
    </xf>
    <xf numFmtId="0" fontId="3" fillId="0" borderId="30" xfId="0" applyFont="1" applyFill="1" applyBorder="1" applyAlignment="1">
      <alignment vertical="top" wrapText="1"/>
    </xf>
    <xf numFmtId="0" fontId="3" fillId="0" borderId="41" xfId="0" applyFont="1" applyFill="1" applyBorder="1" applyAlignment="1">
      <alignment vertical="top" wrapText="1"/>
    </xf>
    <xf numFmtId="0" fontId="3" fillId="0" borderId="42" xfId="0" applyFont="1" applyFill="1" applyBorder="1" applyAlignment="1">
      <alignment vertical="top" wrapText="1"/>
    </xf>
    <xf numFmtId="0" fontId="3" fillId="0" borderId="0" xfId="0" applyFont="1" applyFill="1" applyAlignment="1">
      <alignment vertical="top"/>
    </xf>
    <xf numFmtId="0" fontId="3" fillId="0" borderId="37" xfId="0" applyFont="1" applyFill="1" applyBorder="1" applyAlignment="1">
      <alignment vertical="center"/>
    </xf>
    <xf numFmtId="0" fontId="3" fillId="0" borderId="38"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top"/>
    </xf>
    <xf numFmtId="0" fontId="2" fillId="0" borderId="41" xfId="0" applyFont="1" applyFill="1" applyBorder="1" applyAlignment="1" applyProtection="1">
      <alignment vertical="top" wrapText="1"/>
      <protection/>
    </xf>
    <xf numFmtId="0" fontId="2" fillId="0" borderId="41" xfId="0" applyFont="1" applyFill="1" applyBorder="1" applyAlignment="1">
      <alignment vertical="top" wrapText="1"/>
    </xf>
    <xf numFmtId="0" fontId="2" fillId="0" borderId="41" xfId="0" applyNumberFormat="1" applyFont="1" applyFill="1" applyBorder="1" applyAlignment="1">
      <alignment vertical="top" wrapText="1"/>
    </xf>
    <xf numFmtId="0" fontId="3" fillId="0" borderId="40" xfId="0" applyFont="1" applyFill="1" applyBorder="1" applyAlignment="1">
      <alignment vertical="top" wrapText="1"/>
    </xf>
    <xf numFmtId="0" fontId="2" fillId="0" borderId="30" xfId="0" applyFont="1" applyFill="1" applyBorder="1" applyAlignment="1">
      <alignment vertical="top" wrapText="1"/>
    </xf>
    <xf numFmtId="0" fontId="5" fillId="0" borderId="41" xfId="0" applyFont="1" applyFill="1" applyBorder="1" applyAlignment="1">
      <alignment vertical="top" wrapText="1"/>
    </xf>
    <xf numFmtId="0" fontId="3" fillId="0" borderId="43" xfId="0" applyFont="1" applyFill="1" applyBorder="1" applyAlignment="1">
      <alignment vertical="top" wrapText="1"/>
    </xf>
    <xf numFmtId="0" fontId="2" fillId="0" borderId="44" xfId="0" applyFont="1" applyFill="1" applyBorder="1" applyAlignment="1">
      <alignment vertical="top" wrapText="1"/>
    </xf>
    <xf numFmtId="0" fontId="2" fillId="0" borderId="45" xfId="0" applyFont="1" applyFill="1" applyBorder="1" applyAlignment="1">
      <alignment vertical="top" wrapText="1"/>
    </xf>
    <xf numFmtId="0" fontId="3" fillId="0" borderId="46" xfId="0" applyFont="1" applyFill="1" applyBorder="1" applyAlignment="1">
      <alignment vertical="top" wrapText="1"/>
    </xf>
    <xf numFmtId="0" fontId="3" fillId="0" borderId="47" xfId="0" applyFont="1" applyFill="1" applyBorder="1" applyAlignment="1">
      <alignment vertical="top" wrapText="1"/>
    </xf>
    <xf numFmtId="0" fontId="2" fillId="0" borderId="47" xfId="0" applyFont="1" applyFill="1" applyBorder="1" applyAlignment="1">
      <alignment vertical="top" wrapText="1"/>
    </xf>
    <xf numFmtId="0" fontId="2" fillId="0" borderId="48" xfId="0" applyNumberFormat="1" applyFont="1" applyFill="1" applyBorder="1" applyAlignment="1">
      <alignment vertical="top" wrapText="1"/>
    </xf>
    <xf numFmtId="0" fontId="3" fillId="0" borderId="16" xfId="0" applyFont="1" applyFill="1" applyBorder="1" applyAlignment="1">
      <alignment vertical="top"/>
    </xf>
    <xf numFmtId="0" fontId="3" fillId="0" borderId="49" xfId="0" applyFont="1" applyFill="1" applyBorder="1" applyAlignment="1">
      <alignment vertical="top" wrapText="1"/>
    </xf>
    <xf numFmtId="0" fontId="2" fillId="0" borderId="50" xfId="0" applyNumberFormat="1"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51" xfId="0" applyNumberFormat="1" applyFont="1" applyFill="1" applyBorder="1" applyAlignment="1">
      <alignment vertical="top" wrapText="1"/>
    </xf>
    <xf numFmtId="0" fontId="3" fillId="0" borderId="52" xfId="0" applyFont="1" applyFill="1" applyBorder="1" applyAlignment="1">
      <alignment vertical="top" wrapText="1"/>
    </xf>
    <xf numFmtId="0" fontId="0" fillId="35" borderId="0" xfId="0" applyFill="1" applyAlignment="1" applyProtection="1">
      <alignment horizontal="center"/>
      <protection/>
    </xf>
    <xf numFmtId="0" fontId="9" fillId="35" borderId="0" xfId="0" applyFont="1" applyFill="1" applyAlignment="1" applyProtection="1">
      <alignment horizontal="right"/>
      <protection/>
    </xf>
    <xf numFmtId="0" fontId="4" fillId="32" borderId="0" xfId="0" applyFont="1" applyFill="1" applyAlignment="1" applyProtection="1">
      <alignment/>
      <protection/>
    </xf>
    <xf numFmtId="0" fontId="23" fillId="32" borderId="0" xfId="0" applyFont="1" applyFill="1" applyAlignment="1" applyProtection="1">
      <alignment horizontal="center"/>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7" fillId="32" borderId="0" xfId="0" applyFont="1" applyFill="1" applyAlignment="1" applyProtection="1">
      <alignment horizontal="center" vertical="center"/>
      <protection/>
    </xf>
    <xf numFmtId="0" fontId="30" fillId="32" borderId="0" xfId="0" applyFont="1" applyFill="1" applyAlignment="1" applyProtection="1">
      <alignment horizontal="left" vertical="center" wrapText="1"/>
      <protection/>
    </xf>
    <xf numFmtId="0" fontId="27"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4"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49" fillId="35" borderId="0" xfId="0" applyFont="1" applyFill="1" applyAlignment="1" applyProtection="1">
      <alignment/>
      <protection/>
    </xf>
    <xf numFmtId="0" fontId="40"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49" fillId="35" borderId="0" xfId="0" applyFont="1" applyFill="1" applyAlignment="1" applyProtection="1">
      <alignmen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50" fillId="35" borderId="0" xfId="0" applyFont="1" applyFill="1" applyAlignment="1" applyProtection="1">
      <alignment/>
      <protection/>
    </xf>
    <xf numFmtId="0" fontId="62" fillId="37" borderId="42" xfId="59" applyFont="1" applyFill="1" applyBorder="1" applyAlignment="1" applyProtection="1">
      <alignment horizontal="center" wrapText="1"/>
      <protection/>
    </xf>
    <xf numFmtId="0" fontId="9" fillId="35" borderId="0" xfId="0" applyFont="1" applyFill="1" applyAlignment="1" applyProtection="1">
      <alignment horizontal="center" vertical="center"/>
      <protection/>
    </xf>
    <xf numFmtId="0" fontId="9" fillId="35" borderId="0" xfId="0" applyFont="1" applyFill="1" applyAlignment="1" applyProtection="1">
      <alignment horizontal="right" vertical="center"/>
      <protection/>
    </xf>
    <xf numFmtId="0" fontId="5" fillId="35" borderId="53" xfId="0" applyFont="1" applyFill="1" applyBorder="1" applyAlignment="1" applyProtection="1">
      <alignment horizontal="center" vertical="center" wrapText="1"/>
      <protection/>
    </xf>
    <xf numFmtId="0" fontId="5" fillId="35" borderId="53" xfId="0" applyFont="1" applyFill="1" applyBorder="1" applyAlignment="1" applyProtection="1">
      <alignment horizontal="center" vertical="center"/>
      <protection/>
    </xf>
    <xf numFmtId="0" fontId="33" fillId="35" borderId="53" xfId="0" applyFont="1" applyFill="1" applyBorder="1" applyAlignment="1" applyProtection="1">
      <alignment horizontal="left" vertical="center" wrapText="1"/>
      <protection/>
    </xf>
    <xf numFmtId="0" fontId="9" fillId="0" borderId="0" xfId="0" applyFont="1" applyAlignment="1" applyProtection="1">
      <alignment horizontal="center"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8" fillId="35" borderId="54" xfId="0" applyFont="1" applyFill="1" applyBorder="1" applyAlignment="1" applyProtection="1">
      <alignment horizontal="left" vertical="center" wrapText="1"/>
      <protection/>
    </xf>
    <xf numFmtId="0" fontId="8" fillId="35" borderId="54" xfId="0" applyFont="1" applyFill="1" applyBorder="1" applyAlignment="1" applyProtection="1">
      <alignment horizontal="center" vertical="center" wrapText="1"/>
      <protection/>
    </xf>
    <xf numFmtId="0" fontId="8" fillId="35" borderId="54" xfId="0" applyFont="1" applyFill="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2" fillId="35" borderId="0" xfId="0" applyFont="1" applyFill="1" applyAlignment="1" applyProtection="1">
      <alignment horizontal="center" vertical="center"/>
      <protection/>
    </xf>
    <xf numFmtId="0" fontId="8" fillId="0" borderId="55" xfId="0" applyFont="1" applyBorder="1" applyAlignment="1" applyProtection="1">
      <alignment horizontal="center" vertical="center"/>
      <protection/>
    </xf>
    <xf numFmtId="0" fontId="8" fillId="35" borderId="55" xfId="0" applyFont="1" applyFill="1" applyBorder="1" applyAlignment="1" applyProtection="1">
      <alignment horizontal="center" vertical="center"/>
      <protection/>
    </xf>
    <xf numFmtId="0" fontId="14" fillId="0" borderId="56" xfId="0" applyFont="1" applyFill="1" applyBorder="1" applyAlignment="1" applyProtection="1">
      <alignment vertical="center" wrapText="1"/>
      <protection/>
    </xf>
    <xf numFmtId="0" fontId="14" fillId="35" borderId="56" xfId="0" applyFont="1" applyFill="1" applyBorder="1" applyAlignment="1" applyProtection="1">
      <alignment vertical="center" wrapText="1"/>
      <protection/>
    </xf>
    <xf numFmtId="0" fontId="8" fillId="0" borderId="29" xfId="0" applyFont="1" applyFill="1" applyBorder="1" applyAlignment="1" applyProtection="1">
      <alignment vertical="center" wrapText="1"/>
      <protection/>
    </xf>
    <xf numFmtId="0" fontId="8" fillId="35"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8" fillId="35" borderId="56"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60" fillId="0" borderId="0" xfId="0" applyFont="1" applyAlignment="1" applyProtection="1">
      <alignment vertical="center"/>
      <protection/>
    </xf>
    <xf numFmtId="0" fontId="8" fillId="35" borderId="57" xfId="0" applyFont="1" applyFill="1" applyBorder="1" applyAlignment="1" applyProtection="1">
      <alignment horizontal="left" vertical="center" wrapText="1"/>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5" borderId="0" xfId="0" applyFont="1" applyFill="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48" fillId="35" borderId="27" xfId="0" applyFont="1" applyFill="1" applyBorder="1" applyAlignment="1" applyProtection="1">
      <alignment horizontal="center" vertical="center"/>
      <protection/>
    </xf>
    <xf numFmtId="0" fontId="48"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0" fillId="35" borderId="0" xfId="0" applyFont="1" applyFill="1" applyBorder="1" applyAlignment="1" applyProtection="1">
      <alignment horizontal="center" vertical="center"/>
      <protection/>
    </xf>
    <xf numFmtId="0" fontId="37" fillId="35" borderId="29" xfId="0" applyFont="1" applyFill="1" applyBorder="1" applyAlignment="1" applyProtection="1">
      <alignment horizont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35" borderId="27"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49" fontId="48"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8" fillId="33"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8" fillId="35"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0" xfId="0" applyFont="1" applyFill="1" applyBorder="1" applyAlignment="1" applyProtection="1">
      <alignment/>
      <protection/>
    </xf>
    <xf numFmtId="0" fontId="37" fillId="35" borderId="28" xfId="0" applyFont="1" applyFill="1" applyBorder="1" applyAlignment="1" applyProtection="1">
      <alignment horizontal="center"/>
      <protection/>
    </xf>
    <xf numFmtId="0" fontId="48" fillId="35" borderId="28" xfId="0" applyFont="1" applyFill="1" applyBorder="1" applyAlignment="1" applyProtection="1">
      <alignment horizontal="right" vertical="center" wrapText="1"/>
      <protection/>
    </xf>
    <xf numFmtId="0" fontId="8" fillId="35" borderId="0" xfId="0" applyFont="1" applyFill="1" applyAlignment="1" applyProtection="1">
      <alignment horizontal="center"/>
      <protection/>
    </xf>
    <xf numFmtId="0" fontId="51" fillId="35" borderId="0" xfId="0" applyFont="1" applyFill="1" applyAlignment="1" applyProtection="1">
      <alignment/>
      <protection/>
    </xf>
    <xf numFmtId="0" fontId="37" fillId="35" borderId="0" xfId="0" applyFont="1" applyFill="1" applyAlignment="1" applyProtection="1">
      <alignment horizontal="center"/>
      <protection/>
    </xf>
    <xf numFmtId="0" fontId="52" fillId="35" borderId="0" xfId="0" applyFont="1" applyFill="1" applyAlignment="1" applyProtection="1">
      <alignment/>
      <protection/>
    </xf>
    <xf numFmtId="0" fontId="0" fillId="0" borderId="0" xfId="0" applyAlignment="1" applyProtection="1">
      <alignment/>
      <protection/>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wrapText="1"/>
      <protection locked="0"/>
    </xf>
    <xf numFmtId="0" fontId="28" fillId="32" borderId="0" xfId="0" applyFont="1" applyFill="1" applyAlignment="1" applyProtection="1">
      <alignment/>
      <protection/>
    </xf>
    <xf numFmtId="0" fontId="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5" borderId="0" xfId="0" applyNumberFormat="1" applyFont="1" applyFill="1" applyAlignment="1" applyProtection="1">
      <alignment horizontal="left" vertical="center"/>
      <protection/>
    </xf>
    <xf numFmtId="0" fontId="53" fillId="35" borderId="0" xfId="0" applyFont="1" applyFill="1" applyAlignment="1" applyProtection="1">
      <alignment/>
      <protection/>
    </xf>
    <xf numFmtId="0" fontId="54" fillId="35" borderId="0" xfId="0" applyFont="1" applyFill="1" applyAlignment="1" applyProtection="1">
      <alignment/>
      <protection/>
    </xf>
    <xf numFmtId="0" fontId="45" fillId="35" borderId="0" xfId="0" applyFont="1" applyFill="1" applyBorder="1" applyAlignment="1" applyProtection="1">
      <alignment/>
      <protection/>
    </xf>
    <xf numFmtId="0" fontId="46" fillId="35" borderId="0" xfId="0" applyFont="1" applyFill="1" applyBorder="1" applyAlignment="1" applyProtection="1">
      <alignment/>
      <protection/>
    </xf>
    <xf numFmtId="0" fontId="45" fillId="35" borderId="0" xfId="0" applyFont="1" applyFill="1" applyBorder="1" applyAlignment="1" applyProtection="1">
      <alignment/>
      <protection/>
    </xf>
    <xf numFmtId="0" fontId="45" fillId="35" borderId="0" xfId="0" applyFont="1" applyFill="1" applyBorder="1" applyAlignment="1" applyProtection="1">
      <alignment horizontal="left"/>
      <protection/>
    </xf>
    <xf numFmtId="0" fontId="46" fillId="35" borderId="0" xfId="0" applyFont="1" applyFill="1" applyBorder="1" applyAlignment="1" applyProtection="1">
      <alignment/>
      <protection/>
    </xf>
    <xf numFmtId="0" fontId="16" fillId="35"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53" fillId="35" borderId="0" xfId="0" applyFont="1" applyFill="1" applyAlignment="1" applyProtection="1">
      <alignment vertical="top"/>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35" fillId="0" borderId="0" xfId="0" applyFont="1" applyAlignment="1" applyProtection="1">
      <alignment horizontal="right"/>
      <protection/>
    </xf>
    <xf numFmtId="0" fontId="55" fillId="35" borderId="0" xfId="0" applyFont="1" applyFill="1" applyAlignment="1" applyProtection="1">
      <alignment/>
      <protection/>
    </xf>
    <xf numFmtId="0" fontId="8" fillId="35"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5" borderId="0" xfId="0" applyFont="1" applyFill="1" applyBorder="1" applyAlignment="1" applyProtection="1">
      <alignment vertical="center"/>
      <protection/>
    </xf>
    <xf numFmtId="0" fontId="9" fillId="35" borderId="0" xfId="0" applyFont="1" applyFill="1" applyAlignment="1" applyProtection="1">
      <alignment horizontal="left" vertical="center"/>
      <protection/>
    </xf>
    <xf numFmtId="0" fontId="9"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8" fillId="0" borderId="0" xfId="0" applyFont="1" applyFill="1" applyAlignment="1" applyProtection="1">
      <alignment horizontal="center" vertical="center"/>
      <protection/>
    </xf>
    <xf numFmtId="0" fontId="58"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14" fillId="35" borderId="27" xfId="0" applyFont="1" applyFill="1" applyBorder="1" applyAlignment="1" applyProtection="1">
      <alignment horizontal="left" vertical="center" wrapText="1"/>
      <protection/>
    </xf>
    <xf numFmtId="0" fontId="8" fillId="0"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2" fillId="0" borderId="0" xfId="0" applyFont="1" applyFill="1" applyAlignment="1" applyProtection="1">
      <alignment/>
      <protection/>
    </xf>
    <xf numFmtId="0" fontId="22" fillId="35" borderId="0" xfId="0" applyFont="1" applyFill="1" applyAlignment="1" applyProtection="1">
      <alignment/>
      <protection/>
    </xf>
    <xf numFmtId="0" fontId="22" fillId="35" borderId="0" xfId="0" applyFont="1" applyFill="1" applyAlignment="1" applyProtection="1">
      <alignment horizontal="center"/>
      <protection/>
    </xf>
    <xf numFmtId="0" fontId="8" fillId="0" borderId="29" xfId="0" applyFont="1" applyFill="1" applyBorder="1" applyAlignment="1" applyProtection="1">
      <alignment horizontal="center" vertical="top"/>
      <protection/>
    </xf>
    <xf numFmtId="0" fontId="8" fillId="0" borderId="28" xfId="0" applyFont="1" applyFill="1" applyBorder="1" applyAlignment="1" applyProtection="1">
      <alignment horizontal="center" vertical="top"/>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4" fillId="35" borderId="29" xfId="0" applyFont="1" applyFill="1" applyBorder="1" applyAlignment="1" applyProtection="1">
      <alignment horizontal="left" vertical="center"/>
      <protection/>
    </xf>
    <xf numFmtId="0" fontId="37"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48" fillId="35" borderId="29"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5" borderId="58" xfId="0" applyFont="1" applyFill="1" applyBorder="1" applyAlignment="1" applyProtection="1">
      <alignment/>
      <protection/>
    </xf>
    <xf numFmtId="0" fontId="2" fillId="35" borderId="58" xfId="0" applyFont="1" applyFill="1" applyBorder="1" applyAlignment="1" applyProtection="1">
      <alignment/>
      <protection/>
    </xf>
    <xf numFmtId="0" fontId="8" fillId="35" borderId="58" xfId="0" applyFont="1" applyFill="1" applyBorder="1" applyAlignment="1" applyProtection="1">
      <alignment horizontal="center" vertical="center"/>
      <protection/>
    </xf>
    <xf numFmtId="0" fontId="31" fillId="35" borderId="58" xfId="0" applyFont="1" applyFill="1" applyBorder="1" applyAlignment="1" applyProtection="1">
      <alignment horizontal="left" vertical="center" wrapText="1"/>
      <protection/>
    </xf>
    <xf numFmtId="0" fontId="8" fillId="35" borderId="58" xfId="0" applyFont="1" applyFill="1" applyBorder="1" applyAlignment="1" applyProtection="1">
      <alignment horizontal="center" vertical="center" wrapText="1"/>
      <protection/>
    </xf>
    <xf numFmtId="0" fontId="31" fillId="35" borderId="58" xfId="0" applyFont="1" applyFill="1" applyBorder="1" applyAlignment="1" applyProtection="1">
      <alignment horizontal="left" vertical="center" wrapText="1" indent="2"/>
      <protection/>
    </xf>
    <xf numFmtId="0" fontId="0" fillId="35" borderId="58" xfId="0" applyFont="1" applyFill="1" applyBorder="1" applyAlignment="1" applyProtection="1">
      <alignment/>
      <protection/>
    </xf>
    <xf numFmtId="0" fontId="0" fillId="35" borderId="59" xfId="0" applyFont="1" applyFill="1" applyBorder="1" applyAlignment="1" applyProtection="1">
      <alignment/>
      <protection/>
    </xf>
    <xf numFmtId="0" fontId="48" fillId="35" borderId="28" xfId="0" applyFont="1" applyFill="1" applyBorder="1" applyAlignment="1" applyProtection="1">
      <alignment horizontal="right" vertical="center"/>
      <protection/>
    </xf>
    <xf numFmtId="0" fontId="5" fillId="35" borderId="28" xfId="0" applyFont="1" applyFill="1" applyBorder="1" applyAlignment="1" applyProtection="1">
      <alignment horizontal="center" vertical="center"/>
      <protection/>
    </xf>
    <xf numFmtId="0" fontId="37" fillId="35" borderId="0" xfId="0" applyFont="1" applyFill="1" applyBorder="1" applyAlignment="1" applyProtection="1">
      <alignment horizontal="center"/>
      <protection/>
    </xf>
    <xf numFmtId="0" fontId="48"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5" borderId="0" xfId="0" applyFont="1" applyFill="1" applyAlignment="1" applyProtection="1">
      <alignment horizontal="right"/>
      <protection/>
    </xf>
    <xf numFmtId="0" fontId="0" fillId="35" borderId="0" xfId="0" applyFont="1" applyFill="1" applyBorder="1" applyAlignment="1" applyProtection="1">
      <alignment/>
      <protection/>
    </xf>
    <xf numFmtId="0" fontId="8"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9"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6" fillId="35" borderId="0" xfId="0" applyFont="1" applyFill="1" applyAlignment="1" applyProtection="1">
      <alignment/>
      <protection/>
    </xf>
    <xf numFmtId="0" fontId="15" fillId="35" borderId="0" xfId="0" applyFont="1" applyFill="1" applyBorder="1" applyAlignment="1" applyProtection="1">
      <alignment/>
      <protection/>
    </xf>
    <xf numFmtId="0" fontId="16" fillId="35" borderId="0" xfId="0" applyFont="1" applyFill="1" applyBorder="1" applyAlignment="1" applyProtection="1">
      <alignment horizontal="left"/>
      <protection/>
    </xf>
    <xf numFmtId="0" fontId="15"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Alignment="1" applyProtection="1">
      <alignment/>
      <protection/>
    </xf>
    <xf numFmtId="0" fontId="0" fillId="35"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5" borderId="0" xfId="0" applyFont="1" applyFill="1" applyAlignment="1" applyProtection="1">
      <alignment vertical="center"/>
      <protection/>
    </xf>
    <xf numFmtId="0" fontId="22"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5" borderId="0" xfId="0" applyFont="1" applyFill="1" applyAlignment="1" applyProtection="1">
      <alignment vertical="center"/>
      <protection/>
    </xf>
    <xf numFmtId="0" fontId="8" fillId="35" borderId="29"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indent="2"/>
      <protection/>
    </xf>
    <xf numFmtId="0" fontId="8" fillId="35" borderId="29" xfId="0" applyFont="1" applyFill="1" applyBorder="1" applyAlignment="1" applyProtection="1">
      <alignment horizontal="left" vertical="center" indent="2"/>
      <protection/>
    </xf>
    <xf numFmtId="0" fontId="14" fillId="35" borderId="55" xfId="0" applyFont="1" applyFill="1" applyBorder="1" applyAlignment="1" applyProtection="1">
      <alignment horizontal="left" vertical="center"/>
      <protection/>
    </xf>
    <xf numFmtId="0" fontId="8" fillId="35" borderId="55"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5" borderId="0" xfId="0" applyFont="1" applyFill="1" applyAlignment="1" applyProtection="1">
      <alignment horizontal="left" vertical="top"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0" borderId="0" xfId="0" applyFont="1" applyFill="1" applyBorder="1" applyAlignment="1" applyProtection="1">
      <alignment horizontal="center" vertical="top" wrapText="1"/>
      <protection/>
    </xf>
    <xf numFmtId="0" fontId="8" fillId="33" borderId="0" xfId="0" applyFont="1" applyFill="1" applyBorder="1" applyAlignment="1" applyProtection="1">
      <alignment horizontal="center" vertical="top" wrapText="1"/>
      <protection/>
    </xf>
    <xf numFmtId="0" fontId="37" fillId="35" borderId="0" xfId="0" applyFont="1" applyFill="1" applyAlignment="1" applyProtection="1">
      <alignment horizontal="left" vertical="top" wrapText="1"/>
      <protection/>
    </xf>
    <xf numFmtId="0" fontId="48" fillId="35" borderId="28" xfId="0" applyFont="1" applyFill="1" applyBorder="1" applyAlignment="1" applyProtection="1">
      <alignment horizontal="right" wrapText="1"/>
      <protection/>
    </xf>
    <xf numFmtId="0" fontId="37" fillId="0" borderId="0" xfId="0" applyFont="1" applyFill="1" applyAlignment="1" applyProtection="1">
      <alignment horizontal="center" vertical="center" wrapText="1"/>
      <protection/>
    </xf>
    <xf numFmtId="0" fontId="37" fillId="33" borderId="0" xfId="0" applyFont="1" applyFill="1" applyAlignment="1" applyProtection="1">
      <alignment horizontal="left" vertical="top" wrapText="1"/>
      <protection/>
    </xf>
    <xf numFmtId="0" fontId="8" fillId="35"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5"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3" fillId="35" borderId="60" xfId="0" applyFont="1" applyFill="1" applyBorder="1" applyAlignment="1" applyProtection="1">
      <alignment/>
      <protection/>
    </xf>
    <xf numFmtId="0" fontId="0" fillId="35" borderId="59"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6" fillId="35"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0" fillId="35" borderId="0" xfId="0" applyFont="1" applyFill="1" applyAlignment="1" applyProtection="1">
      <alignment/>
      <protection/>
    </xf>
    <xf numFmtId="0" fontId="5" fillId="35" borderId="61" xfId="0" applyFont="1" applyFill="1" applyBorder="1" applyAlignment="1" applyProtection="1">
      <alignment horizontal="center" vertical="center"/>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8" fillId="35" borderId="62" xfId="0" applyFont="1" applyFill="1" applyBorder="1" applyAlignment="1" applyProtection="1">
      <alignment horizontal="center" vertical="center"/>
      <protection/>
    </xf>
    <xf numFmtId="0" fontId="8" fillId="35" borderId="63" xfId="0" applyFont="1" applyFill="1" applyBorder="1" applyAlignment="1" applyProtection="1">
      <alignment horizontal="right" vertical="center" wrapText="1"/>
      <protection/>
    </xf>
    <xf numFmtId="0" fontId="14" fillId="0" borderId="29" xfId="0" applyFont="1" applyFill="1" applyBorder="1" applyAlignment="1" applyProtection="1">
      <alignment horizontal="left" vertical="center" wrapText="1" indent="1"/>
      <protection/>
    </xf>
    <xf numFmtId="0" fontId="8" fillId="0" borderId="55" xfId="0" applyFont="1" applyFill="1" applyBorder="1" applyAlignment="1" applyProtection="1">
      <alignment horizontal="center" vertical="center"/>
      <protection/>
    </xf>
    <xf numFmtId="0" fontId="8" fillId="0" borderId="29" xfId="0" applyFont="1" applyFill="1" applyBorder="1" applyAlignment="1" applyProtection="1">
      <alignment horizontal="justify" vertical="center" wrapText="1"/>
      <protection/>
    </xf>
    <xf numFmtId="0" fontId="8" fillId="35" borderId="29" xfId="0" applyFont="1" applyFill="1" applyBorder="1" applyAlignment="1" applyProtection="1">
      <alignment horizontal="justify" vertical="center" wrapText="1"/>
      <protection/>
    </xf>
    <xf numFmtId="0" fontId="8" fillId="35"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5" borderId="28" xfId="0" applyFont="1" applyFill="1" applyBorder="1" applyAlignment="1" applyProtection="1">
      <alignment horizontal="justify" vertical="center" wrapText="1"/>
      <protection/>
    </xf>
    <xf numFmtId="0" fontId="8" fillId="35" borderId="64"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horizontal="center" vertical="center"/>
      <protection/>
    </xf>
    <xf numFmtId="0" fontId="8" fillId="35" borderId="35" xfId="0" applyFont="1" applyFill="1" applyBorder="1" applyAlignment="1" applyProtection="1">
      <alignment horizontal="left" vertical="center" wrapText="1" indent="2"/>
      <protection/>
    </xf>
    <xf numFmtId="0" fontId="0" fillId="35" borderId="63" xfId="0" applyFill="1" applyBorder="1" applyAlignment="1" applyProtection="1">
      <alignment/>
      <protection/>
    </xf>
    <xf numFmtId="0" fontId="0" fillId="0" borderId="0" xfId="0" applyFont="1" applyFill="1" applyBorder="1" applyAlignment="1" applyProtection="1">
      <alignment/>
      <protection/>
    </xf>
    <xf numFmtId="0" fontId="8"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48" fillId="35" borderId="29" xfId="0" applyFont="1" applyFill="1" applyBorder="1" applyAlignment="1" applyProtection="1">
      <alignment horizontal="right" wrapText="1"/>
      <protection/>
    </xf>
    <xf numFmtId="0" fontId="8" fillId="35" borderId="65" xfId="0" applyFont="1" applyFill="1" applyBorder="1" applyAlignment="1" applyProtection="1">
      <alignment/>
      <protection/>
    </xf>
    <xf numFmtId="0" fontId="8" fillId="35" borderId="32" xfId="0" applyFont="1" applyFill="1" applyBorder="1" applyAlignment="1" applyProtection="1">
      <alignment/>
      <protection/>
    </xf>
    <xf numFmtId="0" fontId="8" fillId="35" borderId="66" xfId="0" applyFont="1" applyFill="1" applyBorder="1" applyAlignment="1" applyProtection="1">
      <alignment/>
      <protection/>
    </xf>
    <xf numFmtId="0" fontId="37" fillId="35" borderId="0" xfId="0" applyFont="1" applyFill="1" applyBorder="1" applyAlignment="1" applyProtection="1">
      <alignment vertical="top" wrapText="1"/>
      <protection/>
    </xf>
    <xf numFmtId="0" fontId="8" fillId="35" borderId="55" xfId="0" applyFont="1" applyFill="1" applyBorder="1" applyAlignment="1" applyProtection="1">
      <alignment/>
      <protection/>
    </xf>
    <xf numFmtId="0" fontId="8" fillId="35" borderId="63"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8" fillId="35"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5" borderId="27" xfId="0" applyFont="1" applyFill="1" applyBorder="1" applyAlignment="1" applyProtection="1">
      <alignment/>
      <protection/>
    </xf>
    <xf numFmtId="0" fontId="8" fillId="35" borderId="67" xfId="0" applyFont="1" applyFill="1" applyBorder="1" applyAlignment="1" applyProtection="1">
      <alignment/>
      <protection/>
    </xf>
    <xf numFmtId="0" fontId="8" fillId="35" borderId="68" xfId="0" applyFont="1" applyFill="1" applyBorder="1" applyAlignment="1" applyProtection="1">
      <alignment/>
      <protection/>
    </xf>
    <xf numFmtId="0" fontId="8" fillId="35" borderId="69" xfId="0" applyFont="1" applyFill="1" applyBorder="1" applyAlignment="1" applyProtection="1">
      <alignment/>
      <protection/>
    </xf>
    <xf numFmtId="0" fontId="8" fillId="35" borderId="29" xfId="0" applyFont="1" applyFill="1" applyBorder="1" applyAlignment="1" applyProtection="1">
      <alignment/>
      <protection/>
    </xf>
    <xf numFmtId="0" fontId="8" fillId="35" borderId="70" xfId="0" applyFont="1" applyFill="1" applyBorder="1" applyAlignment="1" applyProtection="1">
      <alignment horizontal="center" vertical="center"/>
      <protection/>
    </xf>
    <xf numFmtId="0" fontId="8" fillId="35" borderId="71" xfId="0" applyFont="1" applyFill="1" applyBorder="1" applyAlignment="1" applyProtection="1">
      <alignment horizontal="center" vertical="center"/>
      <protection/>
    </xf>
    <xf numFmtId="0" fontId="8" fillId="35" borderId="0" xfId="0" applyFont="1" applyFill="1" applyBorder="1" applyAlignment="1" applyProtection="1">
      <alignment/>
      <protection/>
    </xf>
    <xf numFmtId="0" fontId="8" fillId="35" borderId="35" xfId="0" applyFont="1" applyFill="1" applyBorder="1" applyAlignment="1" applyProtection="1">
      <alignment/>
      <protection/>
    </xf>
    <xf numFmtId="0" fontId="55" fillId="35" borderId="0" xfId="0" applyFont="1" applyFill="1" applyBorder="1" applyAlignment="1" applyProtection="1">
      <alignment/>
      <protection/>
    </xf>
    <xf numFmtId="0" fontId="0" fillId="35" borderId="0" xfId="0" applyFont="1" applyFill="1" applyBorder="1" applyAlignment="1" applyProtection="1">
      <alignment/>
      <protection/>
    </xf>
    <xf numFmtId="0" fontId="8"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8" fillId="35" borderId="0" xfId="0" applyFont="1" applyFill="1" applyBorder="1" applyAlignment="1" applyProtection="1">
      <alignment horizontal="right" vertical="center" wrapText="1" indent="2"/>
      <protection/>
    </xf>
    <xf numFmtId="0" fontId="48" fillId="35" borderId="0" xfId="0" applyFont="1" applyFill="1" applyBorder="1" applyAlignment="1" applyProtection="1">
      <alignment horizontal="center" vertical="center"/>
      <protection/>
    </xf>
    <xf numFmtId="0" fontId="52" fillId="35" borderId="0" xfId="0" applyFont="1" applyFill="1" applyBorder="1" applyAlignment="1" applyProtection="1">
      <alignment/>
      <protection/>
    </xf>
    <xf numFmtId="0" fontId="31" fillId="32"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2"/>
      <protection/>
    </xf>
    <xf numFmtId="0" fontId="14" fillId="35" borderId="29" xfId="0" applyFont="1" applyFill="1" applyBorder="1" applyAlignment="1" applyProtection="1">
      <alignment horizontal="left" vertical="center" wrapText="1" indent="4"/>
      <protection/>
    </xf>
    <xf numFmtId="0" fontId="51" fillId="35" borderId="29" xfId="0" applyFont="1" applyFill="1" applyBorder="1" applyAlignment="1" applyProtection="1">
      <alignment horizontal="right" vertical="center" wrapText="1"/>
      <protection/>
    </xf>
    <xf numFmtId="0" fontId="2" fillId="0" borderId="72" xfId="0" applyFont="1" applyBorder="1" applyAlignment="1" applyProtection="1">
      <alignment horizontal="center"/>
      <protection locked="0"/>
    </xf>
    <xf numFmtId="0" fontId="2" fillId="0" borderId="73" xfId="0" applyFont="1" applyBorder="1" applyAlignment="1" applyProtection="1">
      <alignment horizontal="center"/>
      <protection locked="0"/>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0" fillId="38" borderId="0" xfId="0" applyFont="1" applyFill="1" applyAlignment="1" applyProtection="1">
      <alignment/>
      <protection/>
    </xf>
    <xf numFmtId="0" fontId="9" fillId="35" borderId="31" xfId="0" applyFont="1" applyFill="1" applyBorder="1" applyAlignment="1" applyProtection="1">
      <alignment horizontal="right"/>
      <protection/>
    </xf>
    <xf numFmtId="0" fontId="8"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37" fillId="0" borderId="35"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7"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35"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8" xfId="0" applyFont="1" applyBorder="1" applyAlignment="1" applyProtection="1">
      <alignment wrapText="1"/>
      <protection/>
    </xf>
    <xf numFmtId="0" fontId="5" fillId="35" borderId="27" xfId="0" applyFont="1" applyFill="1" applyBorder="1" applyAlignment="1" applyProtection="1">
      <alignment horizontal="right" vertical="center"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17" borderId="0" xfId="0" applyFont="1" applyFill="1" applyAlignment="1" applyProtection="1">
      <alignment/>
      <protection/>
    </xf>
    <xf numFmtId="0" fontId="9" fillId="0" borderId="0" xfId="0" applyFont="1" applyFill="1" applyBorder="1" applyAlignment="1">
      <alignment wrapText="1"/>
    </xf>
    <xf numFmtId="0" fontId="15" fillId="0" borderId="10" xfId="0" applyFont="1" applyFill="1" applyBorder="1" applyAlignment="1" applyProtection="1">
      <alignment horizontal="center"/>
      <protection locked="0"/>
    </xf>
    <xf numFmtId="0" fontId="8" fillId="0" borderId="27"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wrapText="1"/>
      <protection locked="0"/>
    </xf>
    <xf numFmtId="1" fontId="8" fillId="0" borderId="28" xfId="0" applyNumberFormat="1" applyFont="1" applyFill="1" applyBorder="1" applyAlignment="1" applyProtection="1">
      <alignment horizontal="center" vertical="center"/>
      <protection locked="0"/>
    </xf>
    <xf numFmtId="0" fontId="2" fillId="0" borderId="74"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75"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55"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55"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8" fillId="38" borderId="55" xfId="0" applyFont="1" applyFill="1" applyBorder="1" applyAlignment="1" applyProtection="1">
      <alignment horizontal="center" vertical="center"/>
      <protection/>
    </xf>
    <xf numFmtId="0" fontId="14" fillId="38" borderId="27" xfId="0" applyFont="1" applyFill="1" applyBorder="1" applyAlignment="1" applyProtection="1">
      <alignment horizontal="left" vertical="center" wrapText="1"/>
      <protection/>
    </xf>
    <xf numFmtId="0" fontId="8" fillId="38" borderId="29" xfId="0" applyFont="1" applyFill="1" applyBorder="1" applyAlignment="1" applyProtection="1">
      <alignment horizontal="center" vertical="center"/>
      <protection/>
    </xf>
    <xf numFmtId="0" fontId="8" fillId="38" borderId="27" xfId="0" applyFont="1" applyFill="1" applyBorder="1" applyAlignment="1" applyProtection="1">
      <alignment horizontal="center" vertical="center" wrapText="1"/>
      <protection locked="0"/>
    </xf>
    <xf numFmtId="0" fontId="31" fillId="38"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104" fillId="0" borderId="30" xfId="57" applyFont="1" applyBorder="1">
      <alignment/>
      <protection/>
    </xf>
    <xf numFmtId="0" fontId="104" fillId="0" borderId="30" xfId="57" applyFont="1" applyBorder="1" applyAlignment="1">
      <alignment horizontal="right"/>
      <protection/>
    </xf>
    <xf numFmtId="0" fontId="8" fillId="35" borderId="56" xfId="0" applyFont="1" applyFill="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55" xfId="0" applyFont="1" applyBorder="1" applyAlignment="1" applyProtection="1">
      <alignment horizontal="center" vertical="center" wrapText="1"/>
      <protection locked="0"/>
    </xf>
    <xf numFmtId="0" fontId="8" fillId="0" borderId="55"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31" fillId="35" borderId="27" xfId="0" applyFont="1" applyFill="1" applyBorder="1" applyAlignment="1" applyProtection="1">
      <alignment horizontal="left" vertical="center" wrapText="1"/>
      <protection/>
    </xf>
    <xf numFmtId="0" fontId="31" fillId="35" borderId="29" xfId="0" applyFont="1" applyFill="1" applyBorder="1" applyAlignment="1" applyProtection="1">
      <alignment horizontal="left" vertical="center" wrapText="1"/>
      <protection/>
    </xf>
    <xf numFmtId="0" fontId="31" fillId="35" borderId="55" xfId="0" applyFont="1" applyFill="1" applyBorder="1" applyAlignment="1" applyProtection="1">
      <alignment horizontal="left" vertical="center" wrapText="1"/>
      <protection/>
    </xf>
    <xf numFmtId="0" fontId="31" fillId="35" borderId="56" xfId="0" applyFont="1" applyFill="1" applyBorder="1" applyAlignment="1" applyProtection="1">
      <alignment horizontal="left" vertical="center" wrapText="1"/>
      <protection/>
    </xf>
    <xf numFmtId="0" fontId="31" fillId="35" borderId="28" xfId="0" applyFont="1" applyFill="1" applyBorder="1" applyAlignment="1" applyProtection="1">
      <alignment horizontal="left" vertical="center" wrapText="1"/>
      <protection/>
    </xf>
    <xf numFmtId="0" fontId="33" fillId="39" borderId="76" xfId="0" applyNumberFormat="1" applyFont="1" applyFill="1" applyBorder="1" applyAlignment="1" applyProtection="1">
      <alignment horizontal="left" vertical="center"/>
      <protection/>
    </xf>
    <xf numFmtId="0" fontId="5" fillId="39" borderId="76" xfId="0" applyNumberFormat="1" applyFont="1" applyFill="1" applyBorder="1" applyAlignment="1" applyProtection="1">
      <alignment horizontal="center" vertical="center"/>
      <protection/>
    </xf>
    <xf numFmtId="0" fontId="64" fillId="39" borderId="76" xfId="0" applyNumberFormat="1" applyFont="1" applyFill="1" applyBorder="1" applyAlignment="1" applyProtection="1">
      <alignment horizontal="left" vertical="center"/>
      <protection/>
    </xf>
    <xf numFmtId="0" fontId="0" fillId="35" borderId="29" xfId="0" applyFill="1" applyBorder="1" applyAlignment="1" applyProtection="1">
      <alignment/>
      <protection/>
    </xf>
    <xf numFmtId="0" fontId="33" fillId="35" borderId="27" xfId="0" applyFont="1" applyFill="1" applyBorder="1" applyAlignment="1" applyProtection="1">
      <alignment horizontal="left" vertical="center" wrapText="1"/>
      <protection/>
    </xf>
    <xf numFmtId="0" fontId="5" fillId="39" borderId="76" xfId="0" applyNumberFormat="1" applyFont="1" applyFill="1" applyBorder="1" applyAlignment="1" applyProtection="1">
      <alignment horizontal="center" vertical="center"/>
      <protection locked="0"/>
    </xf>
    <xf numFmtId="0" fontId="33" fillId="39" borderId="76" xfId="0" applyNumberFormat="1" applyFont="1" applyFill="1" applyBorder="1" applyAlignment="1" applyProtection="1">
      <alignment horizontal="left" vertical="center"/>
      <protection locked="0"/>
    </xf>
    <xf numFmtId="0" fontId="64" fillId="39" borderId="76" xfId="0" applyNumberFormat="1" applyFont="1" applyFill="1" applyBorder="1" applyAlignment="1" applyProtection="1">
      <alignment horizontal="left" vertical="center"/>
      <protection locked="0"/>
    </xf>
    <xf numFmtId="0" fontId="8" fillId="38" borderId="55" xfId="0" applyFont="1" applyFill="1" applyBorder="1" applyAlignment="1" applyProtection="1">
      <alignment horizontal="right" wrapText="1"/>
      <protection locked="0"/>
    </xf>
    <xf numFmtId="0" fontId="31" fillId="38" borderId="55" xfId="0" applyFont="1" applyFill="1" applyBorder="1" applyAlignment="1" applyProtection="1">
      <alignment horizontal="center"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8" fillId="0" borderId="55" xfId="0" applyFont="1" applyFill="1" applyBorder="1" applyAlignment="1" applyProtection="1">
      <alignment horizontal="center" vertical="top"/>
      <protection/>
    </xf>
    <xf numFmtId="0" fontId="8" fillId="0" borderId="55" xfId="0" applyNumberFormat="1" applyFont="1" applyFill="1" applyBorder="1" applyAlignment="1" applyProtection="1">
      <alignment horizontal="center" vertical="center" wrapText="1"/>
      <protection locked="0"/>
    </xf>
    <xf numFmtId="0" fontId="4" fillId="0" borderId="10" xfId="0" applyFont="1" applyFill="1" applyBorder="1" applyAlignment="1">
      <alignment wrapText="1"/>
    </xf>
    <xf numFmtId="0" fontId="4" fillId="0" borderId="10" xfId="0" applyFont="1" applyFill="1"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5" fillId="38" borderId="27" xfId="0" applyFont="1" applyFill="1" applyBorder="1" applyAlignment="1" applyProtection="1">
      <alignment horizontal="center" vertical="center"/>
      <protection/>
    </xf>
    <xf numFmtId="0" fontId="14" fillId="38" borderId="29" xfId="0" applyFont="1" applyFill="1" applyBorder="1" applyAlignment="1" applyProtection="1">
      <alignment horizontal="left" vertical="center"/>
      <protection/>
    </xf>
    <xf numFmtId="0" fontId="5" fillId="38" borderId="29" xfId="0" applyFont="1" applyFill="1" applyBorder="1" applyAlignment="1" applyProtection="1">
      <alignment horizontal="center" vertical="center"/>
      <protection/>
    </xf>
    <xf numFmtId="0" fontId="0" fillId="35" borderId="0" xfId="0" applyFont="1" applyFill="1" applyAlignment="1" applyProtection="1">
      <alignment/>
      <protection/>
    </xf>
    <xf numFmtId="0" fontId="8" fillId="35" borderId="27" xfId="0" applyFont="1" applyFill="1" applyBorder="1" applyAlignment="1" applyProtection="1">
      <alignment horizontal="left" vertical="center" wrapText="1" indent="1"/>
      <protection/>
    </xf>
    <xf numFmtId="0" fontId="8" fillId="38" borderId="27" xfId="0" applyFont="1" applyFill="1" applyBorder="1" applyAlignment="1" applyProtection="1">
      <alignment horizontal="center" vertical="center"/>
      <protection/>
    </xf>
    <xf numFmtId="0" fontId="8" fillId="38" borderId="29" xfId="0" applyFont="1" applyFill="1" applyBorder="1" applyAlignment="1" applyProtection="1">
      <alignment horizontal="center" vertical="top"/>
      <protection/>
    </xf>
    <xf numFmtId="0" fontId="8" fillId="38" borderId="55" xfId="0" applyFont="1" applyFill="1" applyBorder="1" applyAlignment="1" applyProtection="1">
      <alignment horizontal="center" vertical="top"/>
      <protection/>
    </xf>
    <xf numFmtId="0" fontId="8" fillId="38" borderId="28" xfId="0" applyFont="1" applyFill="1" applyBorder="1" applyAlignment="1" applyProtection="1">
      <alignment horizontal="center" vertical="top"/>
      <protection/>
    </xf>
    <xf numFmtId="0" fontId="5" fillId="38" borderId="29" xfId="0" applyFont="1" applyFill="1" applyBorder="1" applyAlignment="1" applyProtection="1">
      <alignment horizontal="left" vertical="center" wrapText="1"/>
      <protection/>
    </xf>
    <xf numFmtId="0" fontId="8" fillId="38" borderId="29" xfId="0" applyFont="1" applyFill="1" applyBorder="1" applyAlignment="1" applyProtection="1">
      <alignment horizontal="left" vertical="center" wrapText="1"/>
      <protection/>
    </xf>
    <xf numFmtId="0" fontId="8" fillId="38" borderId="29" xfId="0" applyFont="1" applyFill="1" applyBorder="1" applyAlignment="1" applyProtection="1">
      <alignment horizontal="left" vertical="center" wrapText="1" indent="2"/>
      <protection/>
    </xf>
    <xf numFmtId="0" fontId="8" fillId="38" borderId="29" xfId="0" applyFont="1" applyFill="1" applyBorder="1" applyAlignment="1" applyProtection="1">
      <alignment horizontal="left" vertical="center" indent="2"/>
      <protection/>
    </xf>
    <xf numFmtId="0" fontId="8" fillId="38" borderId="29" xfId="0" applyFont="1" applyFill="1" applyBorder="1" applyAlignment="1" applyProtection="1">
      <alignment horizontal="left" vertical="center" indent="1"/>
      <protection/>
    </xf>
    <xf numFmtId="0" fontId="8" fillId="38" borderId="29" xfId="0" applyFont="1" applyFill="1" applyBorder="1" applyAlignment="1" applyProtection="1">
      <alignment horizontal="left" vertical="center" wrapText="1" indent="3"/>
      <protection/>
    </xf>
    <xf numFmtId="0" fontId="8" fillId="38" borderId="55" xfId="0" applyFont="1" applyFill="1" applyBorder="1" applyAlignment="1" applyProtection="1">
      <alignment horizontal="left" vertical="center" indent="2"/>
      <protection/>
    </xf>
    <xf numFmtId="0" fontId="14" fillId="38" borderId="55" xfId="0" applyFont="1" applyFill="1" applyBorder="1" applyAlignment="1" applyProtection="1">
      <alignment horizontal="left" vertical="center"/>
      <protection/>
    </xf>
    <xf numFmtId="0" fontId="8" fillId="38" borderId="28" xfId="0" applyFont="1" applyFill="1" applyBorder="1" applyAlignment="1" applyProtection="1">
      <alignment horizontal="center" vertical="center"/>
      <protection/>
    </xf>
    <xf numFmtId="0" fontId="8" fillId="38" borderId="28" xfId="0" applyFont="1" applyFill="1" applyBorder="1" applyAlignment="1" applyProtection="1">
      <alignment horizontal="left" vertical="center" wrapText="1"/>
      <protection/>
    </xf>
    <xf numFmtId="0" fontId="55" fillId="38" borderId="0" xfId="0" applyFont="1" applyFill="1" applyAlignment="1" applyProtection="1">
      <alignment/>
      <protection/>
    </xf>
    <xf numFmtId="0" fontId="0" fillId="38" borderId="0" xfId="0" applyFill="1" applyAlignment="1" applyProtection="1">
      <alignment/>
      <protection/>
    </xf>
    <xf numFmtId="0" fontId="5" fillId="38" borderId="53" xfId="0" applyFont="1" applyFill="1" applyBorder="1" applyAlignment="1" applyProtection="1">
      <alignment horizontal="center" vertical="center"/>
      <protection/>
    </xf>
    <xf numFmtId="49" fontId="1" fillId="0" borderId="40" xfId="0" applyNumberFormat="1" applyFont="1" applyFill="1" applyBorder="1" applyAlignment="1">
      <alignment vertical="top" wrapText="1"/>
    </xf>
    <xf numFmtId="0" fontId="2" fillId="0" borderId="77" xfId="0" applyFont="1" applyFill="1" applyBorder="1" applyAlignment="1">
      <alignment vertical="top" wrapText="1"/>
    </xf>
    <xf numFmtId="0" fontId="3" fillId="0" borderId="78" xfId="0" applyFont="1" applyFill="1" applyBorder="1" applyAlignment="1">
      <alignment vertical="top" wrapText="1"/>
    </xf>
    <xf numFmtId="0" fontId="3" fillId="0" borderId="79" xfId="0" applyFont="1" applyFill="1" applyBorder="1" applyAlignment="1">
      <alignment vertical="top" wrapText="1"/>
    </xf>
    <xf numFmtId="0" fontId="2" fillId="0" borderId="80" xfId="0" applyFont="1" applyFill="1" applyBorder="1" applyAlignment="1">
      <alignment vertical="top" wrapText="1"/>
    </xf>
    <xf numFmtId="0" fontId="8" fillId="38"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1"/>
      <protection/>
    </xf>
    <xf numFmtId="0" fontId="8" fillId="0" borderId="27"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left" vertical="center" wrapText="1" indent="3"/>
      <protection/>
    </xf>
    <xf numFmtId="0" fontId="8" fillId="0" borderId="55" xfId="0" applyFont="1" applyFill="1" applyBorder="1" applyAlignment="1" applyProtection="1">
      <alignment horizontal="left" vertical="center" indent="2"/>
      <protection/>
    </xf>
    <xf numFmtId="0" fontId="2" fillId="0" borderId="73" xfId="0" applyFont="1" applyBorder="1" applyAlignment="1" applyProtection="1">
      <alignment horizontal="left" wrapText="1"/>
      <protection locked="0"/>
    </xf>
    <xf numFmtId="0" fontId="2" fillId="0" borderId="64" xfId="0" applyFont="1" applyBorder="1" applyAlignment="1" applyProtection="1">
      <alignment horizontal="left" wrapText="1"/>
      <protection locked="0"/>
    </xf>
    <xf numFmtId="0" fontId="2" fillId="0" borderId="81" xfId="0" applyFont="1" applyBorder="1" applyAlignment="1" applyProtection="1">
      <alignment horizontal="left" wrapText="1"/>
      <protection locked="0"/>
    </xf>
    <xf numFmtId="0" fontId="9" fillId="0" borderId="0" xfId="0" applyFont="1" applyFill="1" applyBorder="1" applyAlignment="1" applyProtection="1">
      <alignment horizontal="center" vertical="center"/>
      <protection/>
    </xf>
    <xf numFmtId="0" fontId="58" fillId="0" borderId="0" xfId="0"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left" wrapText="1"/>
      <protection locked="0"/>
    </xf>
    <xf numFmtId="0" fontId="2" fillId="0" borderId="82" xfId="0" applyFont="1" applyBorder="1" applyAlignment="1" applyProtection="1">
      <alignment horizontal="center"/>
      <protection locked="0"/>
    </xf>
    <xf numFmtId="0" fontId="35" fillId="0" borderId="0" xfId="0" applyFont="1" applyAlignment="1" applyProtection="1">
      <alignment horizontal="left"/>
      <protection/>
    </xf>
    <xf numFmtId="0" fontId="35" fillId="0" borderId="10" xfId="0" applyFont="1" applyFill="1" applyBorder="1" applyAlignment="1" applyProtection="1">
      <alignment horizontal="left"/>
      <protection/>
    </xf>
    <xf numFmtId="0" fontId="3" fillId="0" borderId="30" xfId="0" applyFont="1" applyFill="1" applyBorder="1" applyAlignment="1">
      <alignment horizontal="center" vertical="center" wrapText="1"/>
    </xf>
    <xf numFmtId="0" fontId="3" fillId="0" borderId="30" xfId="0" applyFont="1" applyFill="1" applyBorder="1" applyAlignment="1">
      <alignment horizontal="center" vertical="center"/>
    </xf>
    <xf numFmtId="0" fontId="8" fillId="0" borderId="28" xfId="0" applyFont="1" applyFill="1" applyBorder="1" applyAlignment="1" applyProtection="1">
      <alignment horizontal="left" vertical="center" wrapText="1" indent="1"/>
      <protection/>
    </xf>
    <xf numFmtId="0" fontId="65" fillId="40" borderId="0" xfId="0" applyFont="1" applyFill="1" applyAlignment="1">
      <alignment horizontal="center"/>
    </xf>
    <xf numFmtId="0" fontId="16" fillId="0" borderId="0" xfId="0" applyFont="1" applyFill="1" applyBorder="1" applyAlignment="1">
      <alignment vertical="top" wrapText="1"/>
    </xf>
    <xf numFmtId="0" fontId="0" fillId="0" borderId="0" xfId="0" applyFont="1" applyFill="1" applyAlignment="1">
      <alignment/>
    </xf>
    <xf numFmtId="0" fontId="34" fillId="32" borderId="0" xfId="0" applyFont="1" applyFill="1" applyAlignment="1">
      <alignment horizontal="center"/>
    </xf>
    <xf numFmtId="0" fontId="13" fillId="4" borderId="0" xfId="0" applyFont="1" applyFill="1" applyAlignment="1">
      <alignment horizontal="center" vertical="center"/>
    </xf>
    <xf numFmtId="0" fontId="16" fillId="0" borderId="35"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16" fillId="0" borderId="10" xfId="0" applyFont="1" applyBorder="1" applyAlignment="1">
      <alignment horizontal="left" vertical="top"/>
    </xf>
    <xf numFmtId="0" fontId="2" fillId="0" borderId="0" xfId="0" applyFont="1" applyFill="1" applyAlignment="1">
      <alignment vertical="center" wrapText="1"/>
    </xf>
    <xf numFmtId="0" fontId="4" fillId="4" borderId="0" xfId="0" applyFont="1" applyFill="1" applyAlignment="1">
      <alignment horizontal="center"/>
    </xf>
    <xf numFmtId="0" fontId="0" fillId="4" borderId="0" xfId="0" applyFont="1" applyFill="1" applyAlignment="1">
      <alignment horizontal="center"/>
    </xf>
    <xf numFmtId="0" fontId="2" fillId="0" borderId="0" xfId="0" applyFont="1" applyFill="1" applyAlignment="1">
      <alignment horizontal="left" vertical="top" wrapText="1"/>
    </xf>
    <xf numFmtId="0" fontId="2" fillId="0" borderId="0" xfId="0" applyFont="1" applyFill="1" applyBorder="1" applyAlignment="1" applyProtection="1">
      <alignment horizontal="left" vertical="top" wrapText="1"/>
      <protection locked="0"/>
    </xf>
    <xf numFmtId="0" fontId="2" fillId="0" borderId="0" xfId="0" applyFont="1" applyFill="1" applyAlignment="1">
      <alignment vertical="top"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3" fillId="0" borderId="60" xfId="0" applyFont="1" applyFill="1" applyBorder="1" applyAlignment="1">
      <alignment horizontal="left" vertical="center" wrapText="1" indent="3"/>
    </xf>
    <xf numFmtId="0" fontId="3" fillId="0" borderId="58" xfId="0" applyFont="1" applyFill="1" applyBorder="1" applyAlignment="1">
      <alignment horizontal="left" vertical="center" wrapText="1" indent="3"/>
    </xf>
    <xf numFmtId="0" fontId="3" fillId="0" borderId="59" xfId="0" applyFont="1" applyFill="1" applyBorder="1" applyAlignment="1">
      <alignment horizontal="left" vertical="center" wrapText="1" indent="3"/>
    </xf>
    <xf numFmtId="0" fontId="2" fillId="0" borderId="60" xfId="0" applyFont="1" applyFill="1" applyBorder="1" applyAlignment="1">
      <alignment horizontal="left" vertical="top" wrapText="1"/>
    </xf>
    <xf numFmtId="0" fontId="2" fillId="0" borderId="58" xfId="0" applyFont="1" applyFill="1" applyBorder="1" applyAlignment="1">
      <alignment horizontal="left" vertical="top" wrapText="1"/>
    </xf>
    <xf numFmtId="0" fontId="2" fillId="0" borderId="59" xfId="0"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Font="1" applyFill="1" applyAlignment="1">
      <alignment horizontal="left" vertical="center" wrapText="1"/>
    </xf>
    <xf numFmtId="0" fontId="2" fillId="0" borderId="0" xfId="0" applyFont="1" applyFill="1" applyBorder="1" applyAlignment="1">
      <alignment horizontal="left" vertical="top" wrapText="1"/>
    </xf>
    <xf numFmtId="0" fontId="13" fillId="32" borderId="0" xfId="0" applyFont="1" applyFill="1" applyAlignment="1">
      <alignment horizontal="center" vertical="center"/>
    </xf>
    <xf numFmtId="0" fontId="0" fillId="0" borderId="0" xfId="0" applyFill="1" applyAlignment="1">
      <alignment vertical="top" wrapText="1"/>
    </xf>
    <xf numFmtId="0" fontId="0" fillId="0" borderId="0" xfId="0" applyFont="1" applyFill="1" applyAlignment="1">
      <alignment wrapText="1"/>
    </xf>
    <xf numFmtId="0" fontId="0" fillId="0" borderId="0" xfId="0" applyFill="1" applyAlignment="1">
      <alignment wrapText="1"/>
    </xf>
    <xf numFmtId="0" fontId="3" fillId="0" borderId="0" xfId="0" applyFont="1" applyFill="1" applyAlignment="1">
      <alignment vertical="top" wrapText="1"/>
    </xf>
    <xf numFmtId="0" fontId="22" fillId="0" borderId="0" xfId="0" applyFont="1" applyFill="1" applyAlignment="1">
      <alignment wrapText="1"/>
    </xf>
    <xf numFmtId="0" fontId="2" fillId="0" borderId="0" xfId="0" applyNumberFormat="1" applyFont="1" applyFill="1" applyBorder="1" applyAlignment="1">
      <alignment vertical="top" wrapText="1"/>
    </xf>
    <xf numFmtId="0" fontId="15" fillId="0" borderId="0" xfId="0" applyFont="1" applyFill="1" applyAlignment="1">
      <alignment vertical="top" wrapText="1"/>
    </xf>
    <xf numFmtId="0" fontId="2" fillId="0" borderId="0" xfId="0" applyNumberFormat="1" applyFont="1" applyFill="1" applyBorder="1" applyAlignment="1">
      <alignment horizontal="left" vertical="top" wrapText="1"/>
    </xf>
    <xf numFmtId="0" fontId="13" fillId="32"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8" fillId="36" borderId="60" xfId="0" applyFont="1" applyFill="1" applyBorder="1" applyAlignment="1">
      <alignment horizontal="center" vertical="center" wrapText="1"/>
    </xf>
    <xf numFmtId="0" fontId="8" fillId="36" borderId="59"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83" xfId="0" applyFont="1" applyFill="1" applyBorder="1" applyAlignment="1">
      <alignment horizontal="center" vertical="center" wrapText="1"/>
    </xf>
    <xf numFmtId="0" fontId="8" fillId="3" borderId="60" xfId="0" applyFont="1" applyFill="1" applyBorder="1" applyAlignment="1">
      <alignment horizontal="center" vertical="center" wrapText="1"/>
    </xf>
    <xf numFmtId="0" fontId="8" fillId="3" borderId="59" xfId="0" applyFont="1" applyFill="1" applyBorder="1" applyAlignment="1">
      <alignment horizontal="center" vertical="center" wrapText="1"/>
    </xf>
    <xf numFmtId="0" fontId="8" fillId="36" borderId="60" xfId="0" applyFont="1" applyFill="1" applyBorder="1" applyAlignment="1">
      <alignment horizontal="center"/>
    </xf>
    <xf numFmtId="0" fontId="8" fillId="36" borderId="58" xfId="0" applyFont="1" applyFill="1" applyBorder="1" applyAlignment="1">
      <alignment horizontal="center"/>
    </xf>
    <xf numFmtId="0" fontId="8" fillId="36" borderId="59" xfId="0" applyFont="1" applyFill="1" applyBorder="1" applyAlignment="1">
      <alignment horizontal="center"/>
    </xf>
    <xf numFmtId="0" fontId="2" fillId="36" borderId="60" xfId="0" applyFont="1" applyFill="1" applyBorder="1" applyAlignment="1">
      <alignment horizontal="center" vertical="center" wrapText="1"/>
    </xf>
    <xf numFmtId="0" fontId="2" fillId="36" borderId="58" xfId="0" applyFont="1" applyFill="1" applyBorder="1" applyAlignment="1">
      <alignment horizontal="center" vertical="center" wrapText="1"/>
    </xf>
    <xf numFmtId="0" fontId="2" fillId="36" borderId="59" xfId="0" applyFont="1" applyFill="1" applyBorder="1" applyAlignment="1">
      <alignment horizontal="center" vertical="center" wrapText="1"/>
    </xf>
    <xf numFmtId="0" fontId="8" fillId="36" borderId="47" xfId="0" applyFont="1" applyFill="1" applyBorder="1" applyAlignment="1">
      <alignment horizontal="center" vertical="center" wrapText="1"/>
    </xf>
    <xf numFmtId="0" fontId="8" fillId="36" borderId="83" xfId="0" applyFont="1" applyFill="1" applyBorder="1" applyAlignment="1">
      <alignment horizontal="center" vertical="center" wrapText="1"/>
    </xf>
    <xf numFmtId="0" fontId="35" fillId="0" borderId="75"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47" xfId="0" applyFont="1" applyFill="1" applyBorder="1" applyAlignment="1">
      <alignment horizontal="center" vertical="center" wrapText="1"/>
    </xf>
    <xf numFmtId="0" fontId="2" fillId="36" borderId="83" xfId="0" applyFont="1" applyFill="1" applyBorder="1" applyAlignment="1">
      <alignment horizontal="center" vertical="center" wrapText="1"/>
    </xf>
    <xf numFmtId="0" fontId="3" fillId="36" borderId="84" xfId="0" applyFont="1" applyFill="1" applyBorder="1" applyAlignment="1">
      <alignment horizontal="center" vertical="center"/>
    </xf>
    <xf numFmtId="0" fontId="3" fillId="36" borderId="85" xfId="0" applyFont="1" applyFill="1" applyBorder="1" applyAlignment="1">
      <alignment horizontal="center" vertical="center"/>
    </xf>
    <xf numFmtId="0" fontId="3" fillId="36" borderId="82" xfId="0" applyFont="1" applyFill="1" applyBorder="1" applyAlignment="1">
      <alignment horizontal="center" vertical="center"/>
    </xf>
    <xf numFmtId="0" fontId="3" fillId="36" borderId="86" xfId="0" applyFont="1" applyFill="1" applyBorder="1" applyAlignment="1">
      <alignment horizontal="center" vertical="center"/>
    </xf>
    <xf numFmtId="0" fontId="19"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60"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8" fillId="0" borderId="0" xfId="0" applyFont="1" applyFill="1" applyBorder="1" applyAlignment="1" applyProtection="1">
      <alignment horizontal="center" vertical="center" wrapText="1"/>
      <protection/>
    </xf>
    <xf numFmtId="0" fontId="0" fillId="0" borderId="0" xfId="0" applyFill="1" applyBorder="1" applyAlignment="1" applyProtection="1">
      <alignment wrapText="1"/>
      <protection/>
    </xf>
    <xf numFmtId="0" fontId="2" fillId="0" borderId="36"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0" fillId="0" borderId="0" xfId="0" applyFont="1" applyBorder="1" applyAlignment="1" applyProtection="1">
      <alignment/>
      <protection/>
    </xf>
    <xf numFmtId="0" fontId="0" fillId="0" borderId="0" xfId="0" applyAlignment="1" applyProtection="1">
      <alignment/>
      <protection/>
    </xf>
    <xf numFmtId="0" fontId="2" fillId="0" borderId="73" xfId="0" applyFont="1" applyBorder="1" applyAlignment="1" applyProtection="1">
      <alignment horizontal="left" wrapText="1"/>
      <protection locked="0"/>
    </xf>
    <xf numFmtId="0" fontId="2" fillId="0" borderId="64" xfId="0" applyFont="1" applyBorder="1" applyAlignment="1" applyProtection="1">
      <alignment horizontal="left" wrapText="1"/>
      <protection locked="0"/>
    </xf>
    <xf numFmtId="0" fontId="2" fillId="0" borderId="81" xfId="0" applyFont="1" applyBorder="1" applyAlignment="1" applyProtection="1">
      <alignment horizontal="left" wrapText="1"/>
      <protection locked="0"/>
    </xf>
    <xf numFmtId="0" fontId="58" fillId="35" borderId="88"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8" fillId="0" borderId="0" xfId="0" applyFont="1" applyFill="1" applyAlignment="1" applyProtection="1">
      <alignment horizontal="left" vertical="top" wrapText="1"/>
      <protection/>
    </xf>
    <xf numFmtId="0" fontId="3" fillId="35" borderId="60" xfId="0" applyFont="1" applyFill="1" applyBorder="1" applyAlignment="1" applyProtection="1">
      <alignment horizontal="left"/>
      <protection/>
    </xf>
    <xf numFmtId="0" fontId="3" fillId="35" borderId="58" xfId="0" applyFont="1" applyFill="1" applyBorder="1" applyAlignment="1" applyProtection="1">
      <alignment horizontal="left"/>
      <protection/>
    </xf>
    <xf numFmtId="0" fontId="3" fillId="35" borderId="59" xfId="0" applyFont="1" applyFill="1" applyBorder="1" applyAlignment="1" applyProtection="1">
      <alignment horizontal="left"/>
      <protection/>
    </xf>
    <xf numFmtId="0" fontId="105" fillId="0" borderId="0" xfId="0" applyFont="1" applyFill="1" applyAlignment="1" applyProtection="1">
      <alignment horizontal="left" vertical="top" wrapText="1"/>
      <protection/>
    </xf>
    <xf numFmtId="0" fontId="0" fillId="0" borderId="0" xfId="0" applyFill="1" applyBorder="1" applyAlignment="1" applyProtection="1">
      <alignment horizontal="center" vertical="center"/>
      <protection/>
    </xf>
    <xf numFmtId="0" fontId="4" fillId="0" borderId="10" xfId="0" applyFont="1" applyFill="1" applyBorder="1" applyAlignment="1" applyProtection="1">
      <alignment horizontal="left" wrapText="1"/>
      <protection/>
    </xf>
    <xf numFmtId="0" fontId="63" fillId="0" borderId="10" xfId="0" applyFont="1" applyFill="1" applyBorder="1" applyAlignment="1" applyProtection="1">
      <alignment/>
      <protection/>
    </xf>
    <xf numFmtId="0" fontId="63"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89" xfId="0" applyFont="1" applyBorder="1" applyAlignment="1" applyProtection="1">
      <alignment horizontal="left" wrapText="1"/>
      <protection locked="0"/>
    </xf>
    <xf numFmtId="0" fontId="2" fillId="0" borderId="90" xfId="0" applyFont="1" applyBorder="1" applyAlignment="1" applyProtection="1">
      <alignment horizontal="left" wrapText="1"/>
      <protection locked="0"/>
    </xf>
    <xf numFmtId="0" fontId="2" fillId="0" borderId="91" xfId="0" applyFont="1" applyBorder="1" applyAlignment="1" applyProtection="1">
      <alignment horizontal="left" wrapText="1"/>
      <protection locked="0"/>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8" fillId="3" borderId="60" xfId="0" applyFont="1" applyFill="1" applyBorder="1" applyAlignment="1" applyProtection="1">
      <alignment horizontal="center" vertical="center" wrapText="1"/>
      <protection/>
    </xf>
    <xf numFmtId="0" fontId="8" fillId="3" borderId="58" xfId="0" applyFont="1" applyFill="1" applyBorder="1" applyAlignment="1" applyProtection="1">
      <alignment horizontal="center" vertical="center" wrapText="1"/>
      <protection/>
    </xf>
    <xf numFmtId="0" fontId="8" fillId="3" borderId="59" xfId="0" applyFont="1" applyFill="1" applyBorder="1" applyAlignment="1" applyProtection="1">
      <alignment horizontal="center" vertical="center" wrapText="1"/>
      <protection/>
    </xf>
    <xf numFmtId="0" fontId="0" fillId="3" borderId="58" xfId="0" applyFont="1" applyFill="1" applyBorder="1" applyAlignment="1" applyProtection="1">
      <alignment horizontal="center" vertical="center" wrapText="1"/>
      <protection/>
    </xf>
    <xf numFmtId="0" fontId="0" fillId="3" borderId="59" xfId="0" applyFont="1" applyFill="1" applyBorder="1" applyAlignment="1" applyProtection="1">
      <alignment horizontal="center" vertical="center" wrapText="1"/>
      <protection/>
    </xf>
    <xf numFmtId="0" fontId="0" fillId="3" borderId="58" xfId="0" applyFill="1" applyBorder="1" applyAlignment="1" applyProtection="1">
      <alignment horizontal="center" vertical="center" wrapText="1"/>
      <protection/>
    </xf>
    <xf numFmtId="0" fontId="0" fillId="3" borderId="59" xfId="0" applyFill="1" applyBorder="1" applyAlignment="1" applyProtection="1">
      <alignment horizontal="center" vertical="center" wrapText="1"/>
      <protection/>
    </xf>
    <xf numFmtId="0" fontId="0" fillId="3" borderId="58" xfId="0" applyFill="1" applyBorder="1" applyAlignment="1" applyProtection="1">
      <alignment horizontal="center" vertical="center"/>
      <protection/>
    </xf>
    <xf numFmtId="0" fontId="0" fillId="3" borderId="59" xfId="0" applyFill="1" applyBorder="1" applyAlignment="1" applyProtection="1">
      <alignment horizontal="center" vertical="center"/>
      <protection/>
    </xf>
    <xf numFmtId="0" fontId="0" fillId="3" borderId="58" xfId="0" applyFill="1" applyBorder="1" applyAlignment="1" applyProtection="1">
      <alignment wrapText="1"/>
      <protection/>
    </xf>
    <xf numFmtId="0" fontId="0" fillId="3" borderId="59" xfId="0" applyFill="1" applyBorder="1" applyAlignment="1" applyProtection="1">
      <alignment wrapText="1"/>
      <protection/>
    </xf>
    <xf numFmtId="0" fontId="9" fillId="41" borderId="84" xfId="0" applyFont="1" applyFill="1" applyBorder="1" applyAlignment="1" applyProtection="1">
      <alignment horizontal="center" vertical="center" wrapText="1"/>
      <protection/>
    </xf>
    <xf numFmtId="0" fontId="0" fillId="41" borderId="35" xfId="0" applyFill="1" applyBorder="1" applyAlignment="1">
      <alignment horizontal="center" vertical="center" wrapText="1"/>
    </xf>
    <xf numFmtId="0" fontId="0" fillId="41" borderId="85" xfId="0" applyFill="1" applyBorder="1" applyAlignment="1">
      <alignment horizontal="center" vertical="center" wrapText="1"/>
    </xf>
    <xf numFmtId="0" fontId="0" fillId="41" borderId="75" xfId="0" applyFill="1" applyBorder="1" applyAlignment="1">
      <alignment horizontal="center" vertical="center" wrapText="1"/>
    </xf>
    <xf numFmtId="0" fontId="0" fillId="41" borderId="0" xfId="0" applyFill="1" applyBorder="1" applyAlignment="1">
      <alignment horizontal="center" vertical="center" wrapText="1"/>
    </xf>
    <xf numFmtId="0" fontId="0" fillId="41" borderId="31" xfId="0" applyFill="1" applyBorder="1" applyAlignment="1">
      <alignment horizontal="center" vertical="center" wrapText="1"/>
    </xf>
    <xf numFmtId="0" fontId="0" fillId="41" borderId="82" xfId="0" applyFill="1" applyBorder="1" applyAlignment="1">
      <alignment horizontal="center" vertical="center" wrapText="1"/>
    </xf>
    <xf numFmtId="0" fontId="0" fillId="41" borderId="10" xfId="0" applyFill="1" applyBorder="1" applyAlignment="1">
      <alignment horizontal="center" vertical="center" wrapText="1"/>
    </xf>
    <xf numFmtId="0" fontId="0" fillId="41" borderId="86" xfId="0" applyFill="1" applyBorder="1" applyAlignment="1">
      <alignment horizontal="center" vertical="center" wrapText="1"/>
    </xf>
    <xf numFmtId="0" fontId="9" fillId="41" borderId="60" xfId="0" applyFont="1" applyFill="1" applyBorder="1" applyAlignment="1">
      <alignment horizontal="center" vertical="center" wrapText="1"/>
    </xf>
    <xf numFmtId="0" fontId="0" fillId="41" borderId="58" xfId="0" applyFill="1"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8" fillId="41" borderId="60" xfId="0" applyFont="1" applyFill="1" applyBorder="1" applyAlignment="1" applyProtection="1">
      <alignment horizontal="center" vertical="center" wrapText="1"/>
      <protection/>
    </xf>
    <xf numFmtId="0" fontId="8" fillId="41" borderId="58" xfId="0" applyFont="1" applyFill="1" applyBorder="1" applyAlignment="1" applyProtection="1">
      <alignment horizontal="center" vertical="center" wrapText="1"/>
      <protection/>
    </xf>
    <xf numFmtId="0" fontId="8" fillId="41" borderId="59" xfId="0" applyFont="1" applyFill="1" applyBorder="1" applyAlignment="1" applyProtection="1">
      <alignment horizontal="center" vertical="center" wrapText="1"/>
      <protection/>
    </xf>
    <xf numFmtId="0" fontId="9" fillId="0" borderId="0" xfId="0" applyFont="1" applyFill="1" applyBorder="1" applyAlignment="1">
      <alignment wrapText="1"/>
    </xf>
    <xf numFmtId="0" fontId="37" fillId="0" borderId="0" xfId="0" applyFont="1" applyBorder="1" applyAlignment="1" applyProtection="1">
      <alignment horizontal="center" vertical="center" wrapText="1"/>
      <protection/>
    </xf>
    <xf numFmtId="0" fontId="9" fillId="0" borderId="0" xfId="0" applyFont="1" applyAlignment="1">
      <alignment wrapText="1"/>
    </xf>
    <xf numFmtId="0" fontId="9" fillId="0" borderId="0" xfId="0" applyFont="1" applyBorder="1" applyAlignment="1">
      <alignment wrapText="1"/>
    </xf>
    <xf numFmtId="0" fontId="0" fillId="41" borderId="58" xfId="0" applyFill="1" applyBorder="1" applyAlignment="1">
      <alignment wrapText="1"/>
    </xf>
    <xf numFmtId="0" fontId="0" fillId="0" borderId="58" xfId="0" applyBorder="1" applyAlignment="1">
      <alignment wrapText="1"/>
    </xf>
    <xf numFmtId="0" fontId="0" fillId="0" borderId="59" xfId="0" applyBorder="1" applyAlignment="1">
      <alignment wrapText="1"/>
    </xf>
    <xf numFmtId="0" fontId="106" fillId="0" borderId="0" xfId="0" applyFont="1" applyAlignment="1" applyProtection="1">
      <alignment wrapText="1"/>
      <protection/>
    </xf>
    <xf numFmtId="0" fontId="107" fillId="0" borderId="0" xfId="0" applyFont="1" applyAlignment="1">
      <alignment wrapText="1"/>
    </xf>
    <xf numFmtId="0" fontId="0" fillId="0" borderId="82" xfId="0" applyBorder="1" applyAlignment="1">
      <alignment horizontal="center" vertical="center" wrapText="1"/>
    </xf>
    <xf numFmtId="0" fontId="0" fillId="0" borderId="10" xfId="0" applyBorder="1" applyAlignment="1">
      <alignment horizontal="center" vertical="center" wrapText="1"/>
    </xf>
    <xf numFmtId="0" fontId="0" fillId="0" borderId="86" xfId="0" applyBorder="1" applyAlignment="1">
      <alignment horizontal="center" vertical="center" wrapText="1"/>
    </xf>
    <xf numFmtId="0" fontId="0" fillId="41" borderId="59" xfId="0" applyFill="1" applyBorder="1" applyAlignment="1">
      <alignment wrapText="1"/>
    </xf>
    <xf numFmtId="0" fontId="9" fillId="41" borderId="60" xfId="0" applyFont="1" applyFill="1" applyBorder="1" applyAlignment="1" applyProtection="1">
      <alignment horizontal="center" vertical="center" wrapText="1"/>
      <protection/>
    </xf>
    <xf numFmtId="0" fontId="0" fillId="41" borderId="59" xfId="0" applyFill="1" applyBorder="1" applyAlignment="1">
      <alignment horizontal="center" vertical="center" wrapText="1"/>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5" borderId="47" xfId="0" applyFont="1" applyFill="1" applyBorder="1" applyAlignment="1" applyProtection="1">
      <alignment horizontal="center" vertical="center" wrapText="1"/>
      <protection/>
    </xf>
    <xf numFmtId="0" fontId="0" fillId="5" borderId="44" xfId="0" applyFill="1" applyBorder="1" applyAlignment="1" applyProtection="1">
      <alignment vertical="center" wrapText="1"/>
      <protection/>
    </xf>
    <xf numFmtId="0" fontId="0" fillId="5" borderId="83" xfId="0" applyFill="1" applyBorder="1" applyAlignment="1" applyProtection="1">
      <alignment vertical="center" wrapText="1"/>
      <protection/>
    </xf>
    <xf numFmtId="0" fontId="8" fillId="5" borderId="84" xfId="0" applyFont="1" applyFill="1" applyBorder="1" applyAlignment="1" applyProtection="1">
      <alignment horizontal="center" vertical="center" wrapText="1"/>
      <protection/>
    </xf>
    <xf numFmtId="0" fontId="0" fillId="5" borderId="35" xfId="0" applyFill="1" applyBorder="1" applyAlignment="1" applyProtection="1">
      <alignment horizontal="center" vertical="center"/>
      <protection/>
    </xf>
    <xf numFmtId="0" fontId="0" fillId="0" borderId="85" xfId="0" applyBorder="1" applyAlignment="1">
      <alignment horizontal="center" vertical="center"/>
    </xf>
    <xf numFmtId="0" fontId="0" fillId="5" borderId="75"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1" xfId="0" applyBorder="1" applyAlignment="1">
      <alignment horizontal="center" vertical="center"/>
    </xf>
    <xf numFmtId="0" fontId="0" fillId="0" borderId="82" xfId="0" applyBorder="1" applyAlignment="1">
      <alignment horizontal="center" vertical="center"/>
    </xf>
    <xf numFmtId="0" fontId="0" fillId="0" borderId="10" xfId="0" applyBorder="1" applyAlignment="1">
      <alignment horizontal="center" vertical="center"/>
    </xf>
    <xf numFmtId="0" fontId="0" fillId="0" borderId="86" xfId="0" applyBorder="1" applyAlignment="1">
      <alignment horizontal="center" vertical="center"/>
    </xf>
    <xf numFmtId="0" fontId="8" fillId="5" borderId="60" xfId="0" applyFont="1" applyFill="1" applyBorder="1" applyAlignment="1" applyProtection="1">
      <alignment horizontal="center" vertical="center" wrapText="1"/>
      <protection/>
    </xf>
    <xf numFmtId="0" fontId="8" fillId="5" borderId="58" xfId="0" applyFont="1" applyFill="1" applyBorder="1" applyAlignment="1" applyProtection="1">
      <alignment horizontal="center" vertical="center" wrapText="1"/>
      <protection/>
    </xf>
    <xf numFmtId="0" fontId="8" fillId="5" borderId="59" xfId="0"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85" xfId="0" applyBorder="1" applyAlignment="1">
      <alignment horizontal="center" vertical="center" wrapText="1"/>
    </xf>
    <xf numFmtId="0" fontId="16" fillId="35" borderId="0" xfId="0" applyFont="1" applyFill="1" applyBorder="1" applyAlignment="1" applyProtection="1">
      <alignment horizontal="left"/>
      <protection/>
    </xf>
    <xf numFmtId="0" fontId="0" fillId="4" borderId="0" xfId="0" applyFont="1" applyFill="1" applyAlignment="1" applyProtection="1">
      <alignment/>
      <protection/>
    </xf>
    <xf numFmtId="0" fontId="37" fillId="0" borderId="0" xfId="0" applyFont="1" applyFill="1" applyAlignment="1" applyProtection="1">
      <alignment horizontal="center" vertical="top" wrapText="1"/>
      <protection/>
    </xf>
    <xf numFmtId="0" fontId="37" fillId="0" borderId="0" xfId="0" applyFont="1" applyFill="1" applyAlignment="1" applyProtection="1">
      <alignment horizontal="center" wrapText="1"/>
      <protection/>
    </xf>
    <xf numFmtId="0" fontId="8" fillId="32" borderId="60" xfId="0" applyFont="1" applyFill="1" applyBorder="1" applyAlignment="1" applyProtection="1">
      <alignment horizontal="center" vertical="center" wrapText="1"/>
      <protection/>
    </xf>
    <xf numFmtId="0" fontId="8" fillId="32" borderId="58" xfId="0" applyFont="1" applyFill="1" applyBorder="1" applyAlignment="1" applyProtection="1">
      <alignment horizontal="center" vertical="center" wrapText="1"/>
      <protection/>
    </xf>
    <xf numFmtId="0" fontId="8" fillId="32" borderId="59" xfId="0" applyFont="1" applyFill="1" applyBorder="1" applyAlignment="1" applyProtection="1">
      <alignment horizontal="center" vertical="center" wrapText="1"/>
      <protection/>
    </xf>
    <xf numFmtId="0" fontId="5" fillId="32" borderId="84" xfId="0" applyFont="1" applyFill="1" applyBorder="1" applyAlignment="1" applyProtection="1">
      <alignment horizontal="center" vertical="center" wrapText="1"/>
      <protection/>
    </xf>
    <xf numFmtId="0" fontId="0" fillId="0" borderId="75"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4" fillId="4" borderId="0" xfId="0" applyFont="1" applyFill="1" applyAlignment="1">
      <alignment/>
    </xf>
    <xf numFmtId="0" fontId="0" fillId="4" borderId="0" xfId="0" applyFont="1" applyFill="1" applyAlignment="1">
      <alignment/>
    </xf>
    <xf numFmtId="0" fontId="3" fillId="35" borderId="60" xfId="0" applyFont="1" applyFill="1" applyBorder="1" applyAlignment="1">
      <alignment horizontal="left" wrapText="1"/>
    </xf>
    <xf numFmtId="0" fontId="3" fillId="35" borderId="58" xfId="0" applyFont="1" applyFill="1" applyBorder="1" applyAlignment="1">
      <alignment horizontal="left" wrapText="1"/>
    </xf>
    <xf numFmtId="0" fontId="3" fillId="35" borderId="59" xfId="0" applyFont="1" applyFill="1" applyBorder="1" applyAlignment="1">
      <alignment horizontal="left" wrapText="1"/>
    </xf>
    <xf numFmtId="0" fontId="3" fillId="35" borderId="60" xfId="0" applyFont="1" applyFill="1" applyBorder="1" applyAlignment="1" applyProtection="1">
      <alignment horizontal="left" wrapText="1"/>
      <protection locked="0"/>
    </xf>
    <xf numFmtId="0" fontId="3" fillId="35" borderId="58" xfId="0" applyFont="1" applyFill="1" applyBorder="1" applyAlignment="1" applyProtection="1">
      <alignment horizontal="left" wrapText="1"/>
      <protection locked="0"/>
    </xf>
    <xf numFmtId="0" fontId="3" fillId="35" borderId="59" xfId="0" applyFont="1" applyFill="1" applyBorder="1" applyAlignment="1" applyProtection="1">
      <alignment horizontal="left" wrapText="1"/>
      <protection locked="0"/>
    </xf>
    <xf numFmtId="0" fontId="8" fillId="0" borderId="60" xfId="0" applyFont="1" applyBorder="1" applyAlignment="1">
      <alignment horizontal="left" wrapText="1"/>
    </xf>
    <xf numFmtId="0" fontId="8" fillId="0" borderId="58" xfId="0" applyFont="1" applyBorder="1" applyAlignment="1">
      <alignment horizontal="left" wrapText="1"/>
    </xf>
    <xf numFmtId="0" fontId="8" fillId="0" borderId="59" xfId="0" applyFont="1" applyBorder="1" applyAlignment="1">
      <alignment horizontal="left" wrapText="1"/>
    </xf>
    <xf numFmtId="0" fontId="8" fillId="0" borderId="36" xfId="0" applyFont="1" applyBorder="1" applyAlignment="1" applyProtection="1">
      <alignment wrapText="1"/>
      <protection locked="0"/>
    </xf>
    <xf numFmtId="0" fontId="8" fillId="0" borderId="34" xfId="0" applyFont="1" applyBorder="1" applyAlignment="1" applyProtection="1">
      <alignment wrapText="1"/>
      <protection locked="0"/>
    </xf>
    <xf numFmtId="0" fontId="8" fillId="0" borderId="87"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87" xfId="0" applyFont="1" applyBorder="1" applyAlignment="1" applyProtection="1">
      <alignment wrapText="1"/>
      <protection locked="0"/>
    </xf>
    <xf numFmtId="0" fontId="0" fillId="0" borderId="34" xfId="0" applyBorder="1" applyAlignment="1" applyProtection="1">
      <alignment wrapText="1"/>
      <protection locked="0"/>
    </xf>
    <xf numFmtId="0" fontId="0" fillId="0" borderId="87" xfId="0" applyBorder="1" applyAlignment="1" applyProtection="1">
      <alignment wrapText="1"/>
      <protection locked="0"/>
    </xf>
    <xf numFmtId="0" fontId="8" fillId="0" borderId="73" xfId="0" applyFont="1" applyBorder="1" applyAlignment="1" applyProtection="1">
      <alignment wrapText="1"/>
      <protection locked="0"/>
    </xf>
    <xf numFmtId="0" fontId="0" fillId="0" borderId="64" xfId="0" applyBorder="1" applyAlignment="1" applyProtection="1">
      <alignment wrapText="1"/>
      <protection locked="0"/>
    </xf>
    <xf numFmtId="0" fontId="0" fillId="0" borderId="81" xfId="0" applyBorder="1" applyAlignment="1" applyProtection="1">
      <alignment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s>
  <dxfs count="213">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11</xdr:col>
      <xdr:colOff>123825</xdr:colOff>
      <xdr:row>0</xdr:row>
      <xdr:rowOff>114300</xdr:rowOff>
    </xdr:from>
    <xdr:to>
      <xdr:col>12</xdr:col>
      <xdr:colOff>466725</xdr:colOff>
      <xdr:row>5</xdr:row>
      <xdr:rowOff>152400</xdr:rowOff>
    </xdr:to>
    <xdr:pic>
      <xdr:nvPicPr>
        <xdr:cNvPr id="2" name="Picture 1"/>
        <xdr:cNvPicPr preferRelativeResize="1">
          <a:picLocks noChangeAspect="1"/>
        </xdr:cNvPicPr>
      </xdr:nvPicPr>
      <xdr:blipFill>
        <a:blip r:embed="rId2"/>
        <a:stretch>
          <a:fillRect/>
        </a:stretch>
      </xdr:blipFill>
      <xdr:spPr>
        <a:xfrm>
          <a:off x="7524750" y="114300"/>
          <a:ext cx="8763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11</xdr:row>
      <xdr:rowOff>219075</xdr:rowOff>
    </xdr:from>
    <xdr:to>
      <xdr:col>5</xdr:col>
      <xdr:colOff>9525</xdr:colOff>
      <xdr:row>11</xdr:row>
      <xdr:rowOff>219075</xdr:rowOff>
    </xdr:to>
    <xdr:sp>
      <xdr:nvSpPr>
        <xdr:cNvPr id="1" name="Line 7"/>
        <xdr:cNvSpPr>
          <a:spLocks/>
        </xdr:cNvSpPr>
      </xdr:nvSpPr>
      <xdr:spPr>
        <a:xfrm flipV="1">
          <a:off x="1647825" y="2857500"/>
          <a:ext cx="11715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3324225" y="225742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304800</xdr:colOff>
      <xdr:row>18</xdr:row>
      <xdr:rowOff>266700</xdr:rowOff>
    </xdr:from>
    <xdr:to>
      <xdr:col>12</xdr:col>
      <xdr:colOff>304800</xdr:colOff>
      <xdr:row>24</xdr:row>
      <xdr:rowOff>247650</xdr:rowOff>
    </xdr:to>
    <xdr:sp>
      <xdr:nvSpPr>
        <xdr:cNvPr id="3" name="Line 9"/>
        <xdr:cNvSpPr>
          <a:spLocks/>
        </xdr:cNvSpPr>
      </xdr:nvSpPr>
      <xdr:spPr>
        <a:xfrm>
          <a:off x="10439400" y="5715000"/>
          <a:ext cx="0" cy="20764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10</xdr:col>
      <xdr:colOff>571500</xdr:colOff>
      <xdr:row>15</xdr:row>
      <xdr:rowOff>180975</xdr:rowOff>
    </xdr:to>
    <xdr:sp>
      <xdr:nvSpPr>
        <xdr:cNvPr id="4" name="Line 10"/>
        <xdr:cNvSpPr>
          <a:spLocks/>
        </xdr:cNvSpPr>
      </xdr:nvSpPr>
      <xdr:spPr>
        <a:xfrm flipH="1" flipV="1">
          <a:off x="838200" y="4010025"/>
          <a:ext cx="84963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314325</xdr:colOff>
      <xdr:row>11</xdr:row>
      <xdr:rowOff>200025</xdr:rowOff>
    </xdr:to>
    <xdr:sp>
      <xdr:nvSpPr>
        <xdr:cNvPr id="5" name="Line 14"/>
        <xdr:cNvSpPr>
          <a:spLocks/>
        </xdr:cNvSpPr>
      </xdr:nvSpPr>
      <xdr:spPr>
        <a:xfrm flipV="1">
          <a:off x="4010025" y="2838450"/>
          <a:ext cx="14954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352425</xdr:rowOff>
    </xdr:from>
    <xdr:to>
      <xdr:col>19</xdr:col>
      <xdr:colOff>19050</xdr:colOff>
      <xdr:row>30</xdr:row>
      <xdr:rowOff>219075</xdr:rowOff>
    </xdr:to>
    <xdr:sp>
      <xdr:nvSpPr>
        <xdr:cNvPr id="6" name="Line 35"/>
        <xdr:cNvSpPr>
          <a:spLocks/>
        </xdr:cNvSpPr>
      </xdr:nvSpPr>
      <xdr:spPr>
        <a:xfrm flipV="1">
          <a:off x="15459075" y="5800725"/>
          <a:ext cx="0" cy="39052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7" name="Line 49"/>
        <xdr:cNvSpPr>
          <a:spLocks/>
        </xdr:cNvSpPr>
      </xdr:nvSpPr>
      <xdr:spPr>
        <a:xfrm flipV="1">
          <a:off x="7848600" y="83915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8" name="Line 56"/>
        <xdr:cNvSpPr>
          <a:spLocks/>
        </xdr:cNvSpPr>
      </xdr:nvSpPr>
      <xdr:spPr>
        <a:xfrm flipV="1">
          <a:off x="17687925" y="88011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9525</xdr:rowOff>
    </xdr:from>
    <xdr:to>
      <xdr:col>23</xdr:col>
      <xdr:colOff>0</xdr:colOff>
      <xdr:row>28</xdr:row>
      <xdr:rowOff>9525</xdr:rowOff>
    </xdr:to>
    <xdr:sp>
      <xdr:nvSpPr>
        <xdr:cNvPr id="9" name="Line 57"/>
        <xdr:cNvSpPr>
          <a:spLocks/>
        </xdr:cNvSpPr>
      </xdr:nvSpPr>
      <xdr:spPr>
        <a:xfrm>
          <a:off x="17687925" y="897255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457200</xdr:rowOff>
    </xdr:from>
    <xdr:to>
      <xdr:col>12</xdr:col>
      <xdr:colOff>276225</xdr:colOff>
      <xdr:row>20</xdr:row>
      <xdr:rowOff>457200</xdr:rowOff>
    </xdr:to>
    <xdr:sp>
      <xdr:nvSpPr>
        <xdr:cNvPr id="10" name="Line 73"/>
        <xdr:cNvSpPr>
          <a:spLocks/>
        </xdr:cNvSpPr>
      </xdr:nvSpPr>
      <xdr:spPr>
        <a:xfrm flipV="1">
          <a:off x="9963150" y="6610350"/>
          <a:ext cx="447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1" name="Line 202"/>
        <xdr:cNvSpPr>
          <a:spLocks/>
        </xdr:cNvSpPr>
      </xdr:nvSpPr>
      <xdr:spPr>
        <a:xfrm>
          <a:off x="3295650" y="168592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466725</xdr:colOff>
      <xdr:row>9</xdr:row>
      <xdr:rowOff>0</xdr:rowOff>
    </xdr:to>
    <xdr:sp>
      <xdr:nvSpPr>
        <xdr:cNvPr id="12" name="Line 203"/>
        <xdr:cNvSpPr>
          <a:spLocks/>
        </xdr:cNvSpPr>
      </xdr:nvSpPr>
      <xdr:spPr>
        <a:xfrm flipV="1">
          <a:off x="4457700" y="1685925"/>
          <a:ext cx="9525"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190500</xdr:rowOff>
    </xdr:from>
    <xdr:to>
      <xdr:col>13</xdr:col>
      <xdr:colOff>447675</xdr:colOff>
      <xdr:row>22</xdr:row>
      <xdr:rowOff>190500</xdr:rowOff>
    </xdr:to>
    <xdr:sp>
      <xdr:nvSpPr>
        <xdr:cNvPr id="13" name="Line 204"/>
        <xdr:cNvSpPr>
          <a:spLocks/>
        </xdr:cNvSpPr>
      </xdr:nvSpPr>
      <xdr:spPr>
        <a:xfrm>
          <a:off x="10420350" y="703897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19050</xdr:rowOff>
    </xdr:from>
    <xdr:to>
      <xdr:col>5</xdr:col>
      <xdr:colOff>523875</xdr:colOff>
      <xdr:row>14</xdr:row>
      <xdr:rowOff>47625</xdr:rowOff>
    </xdr:to>
    <xdr:sp>
      <xdr:nvSpPr>
        <xdr:cNvPr id="14" name="Line 205"/>
        <xdr:cNvSpPr>
          <a:spLocks/>
        </xdr:cNvSpPr>
      </xdr:nvSpPr>
      <xdr:spPr>
        <a:xfrm>
          <a:off x="3333750" y="3248025"/>
          <a:ext cx="0" cy="4667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419100</xdr:colOff>
      <xdr:row>15</xdr:row>
      <xdr:rowOff>180975</xdr:rowOff>
    </xdr:from>
    <xdr:to>
      <xdr:col>3</xdr:col>
      <xdr:colOff>419100</xdr:colOff>
      <xdr:row>16</xdr:row>
      <xdr:rowOff>28575</xdr:rowOff>
    </xdr:to>
    <xdr:sp>
      <xdr:nvSpPr>
        <xdr:cNvPr id="15" name="Line 206"/>
        <xdr:cNvSpPr>
          <a:spLocks/>
        </xdr:cNvSpPr>
      </xdr:nvSpPr>
      <xdr:spPr>
        <a:xfrm>
          <a:off x="847725" y="401002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47625</xdr:rowOff>
    </xdr:to>
    <xdr:sp>
      <xdr:nvSpPr>
        <xdr:cNvPr id="16" name="Line 207"/>
        <xdr:cNvSpPr>
          <a:spLocks/>
        </xdr:cNvSpPr>
      </xdr:nvSpPr>
      <xdr:spPr>
        <a:xfrm>
          <a:off x="1952625" y="40290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76200</xdr:rowOff>
    </xdr:to>
    <xdr:sp>
      <xdr:nvSpPr>
        <xdr:cNvPr id="17" name="Line 208"/>
        <xdr:cNvSpPr>
          <a:spLocks/>
        </xdr:cNvSpPr>
      </xdr:nvSpPr>
      <xdr:spPr>
        <a:xfrm>
          <a:off x="3219450" y="402907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171450</xdr:rowOff>
    </xdr:from>
    <xdr:to>
      <xdr:col>6</xdr:col>
      <xdr:colOff>533400</xdr:colOff>
      <xdr:row>16</xdr:row>
      <xdr:rowOff>47625</xdr:rowOff>
    </xdr:to>
    <xdr:sp>
      <xdr:nvSpPr>
        <xdr:cNvPr id="18" name="Line 209"/>
        <xdr:cNvSpPr>
          <a:spLocks/>
        </xdr:cNvSpPr>
      </xdr:nvSpPr>
      <xdr:spPr>
        <a:xfrm>
          <a:off x="4524375" y="4000500"/>
          <a:ext cx="9525"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209550</xdr:rowOff>
    </xdr:from>
    <xdr:to>
      <xdr:col>7</xdr:col>
      <xdr:colOff>514350</xdr:colOff>
      <xdr:row>16</xdr:row>
      <xdr:rowOff>47625</xdr:rowOff>
    </xdr:to>
    <xdr:sp>
      <xdr:nvSpPr>
        <xdr:cNvPr id="19" name="Line 210"/>
        <xdr:cNvSpPr>
          <a:spLocks/>
        </xdr:cNvSpPr>
      </xdr:nvSpPr>
      <xdr:spPr>
        <a:xfrm>
          <a:off x="5705475" y="4038600"/>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552450</xdr:colOff>
      <xdr:row>15</xdr:row>
      <xdr:rowOff>190500</xdr:rowOff>
    </xdr:from>
    <xdr:to>
      <xdr:col>8</xdr:col>
      <xdr:colOff>552450</xdr:colOff>
      <xdr:row>16</xdr:row>
      <xdr:rowOff>38100</xdr:rowOff>
    </xdr:to>
    <xdr:sp>
      <xdr:nvSpPr>
        <xdr:cNvPr id="20" name="Line 211"/>
        <xdr:cNvSpPr>
          <a:spLocks/>
        </xdr:cNvSpPr>
      </xdr:nvSpPr>
      <xdr:spPr>
        <a:xfrm>
          <a:off x="6934200"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1038225</xdr:rowOff>
    </xdr:from>
    <xdr:to>
      <xdr:col>3</xdr:col>
      <xdr:colOff>438150</xdr:colOff>
      <xdr:row>18</xdr:row>
      <xdr:rowOff>0</xdr:rowOff>
    </xdr:to>
    <xdr:sp>
      <xdr:nvSpPr>
        <xdr:cNvPr id="21" name="Line 212"/>
        <xdr:cNvSpPr>
          <a:spLocks/>
        </xdr:cNvSpPr>
      </xdr:nvSpPr>
      <xdr:spPr>
        <a:xfrm>
          <a:off x="866775" y="52197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361950</xdr:colOff>
      <xdr:row>16</xdr:row>
      <xdr:rowOff>1038225</xdr:rowOff>
    </xdr:from>
    <xdr:to>
      <xdr:col>4</xdr:col>
      <xdr:colOff>361950</xdr:colOff>
      <xdr:row>18</xdr:row>
      <xdr:rowOff>0</xdr:rowOff>
    </xdr:to>
    <xdr:sp>
      <xdr:nvSpPr>
        <xdr:cNvPr id="22" name="Line 213"/>
        <xdr:cNvSpPr>
          <a:spLocks/>
        </xdr:cNvSpPr>
      </xdr:nvSpPr>
      <xdr:spPr>
        <a:xfrm>
          <a:off x="1981200" y="52197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428625</xdr:colOff>
      <xdr:row>16</xdr:row>
      <xdr:rowOff>1057275</xdr:rowOff>
    </xdr:from>
    <xdr:to>
      <xdr:col>5</xdr:col>
      <xdr:colOff>428625</xdr:colOff>
      <xdr:row>18</xdr:row>
      <xdr:rowOff>9525</xdr:rowOff>
    </xdr:to>
    <xdr:sp>
      <xdr:nvSpPr>
        <xdr:cNvPr id="23" name="Line 214"/>
        <xdr:cNvSpPr>
          <a:spLocks/>
        </xdr:cNvSpPr>
      </xdr:nvSpPr>
      <xdr:spPr>
        <a:xfrm>
          <a:off x="3238500"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1057275</xdr:rowOff>
    </xdr:from>
    <xdr:to>
      <xdr:col>6</xdr:col>
      <xdr:colOff>552450</xdr:colOff>
      <xdr:row>18</xdr:row>
      <xdr:rowOff>9525</xdr:rowOff>
    </xdr:to>
    <xdr:sp>
      <xdr:nvSpPr>
        <xdr:cNvPr id="24" name="Line 215"/>
        <xdr:cNvSpPr>
          <a:spLocks/>
        </xdr:cNvSpPr>
      </xdr:nvSpPr>
      <xdr:spPr>
        <a:xfrm>
          <a:off x="4552950"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542925</xdr:colOff>
      <xdr:row>16</xdr:row>
      <xdr:rowOff>1057275</xdr:rowOff>
    </xdr:from>
    <xdr:to>
      <xdr:col>7</xdr:col>
      <xdr:colOff>542925</xdr:colOff>
      <xdr:row>18</xdr:row>
      <xdr:rowOff>9525</xdr:rowOff>
    </xdr:to>
    <xdr:sp>
      <xdr:nvSpPr>
        <xdr:cNvPr id="25" name="Line 216"/>
        <xdr:cNvSpPr>
          <a:spLocks/>
        </xdr:cNvSpPr>
      </xdr:nvSpPr>
      <xdr:spPr>
        <a:xfrm flipH="1">
          <a:off x="5734050"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1057275</xdr:rowOff>
    </xdr:from>
    <xdr:to>
      <xdr:col>8</xdr:col>
      <xdr:colOff>600075</xdr:colOff>
      <xdr:row>18</xdr:row>
      <xdr:rowOff>9525</xdr:rowOff>
    </xdr:to>
    <xdr:sp>
      <xdr:nvSpPr>
        <xdr:cNvPr id="26" name="Line 217"/>
        <xdr:cNvSpPr>
          <a:spLocks/>
        </xdr:cNvSpPr>
      </xdr:nvSpPr>
      <xdr:spPr>
        <a:xfrm>
          <a:off x="6981825"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333375</xdr:colOff>
      <xdr:row>22</xdr:row>
      <xdr:rowOff>304800</xdr:rowOff>
    </xdr:to>
    <xdr:sp>
      <xdr:nvSpPr>
        <xdr:cNvPr id="27" name="Line 218"/>
        <xdr:cNvSpPr>
          <a:spLocks/>
        </xdr:cNvSpPr>
      </xdr:nvSpPr>
      <xdr:spPr>
        <a:xfrm>
          <a:off x="9953625" y="7153275"/>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1190625</xdr:colOff>
      <xdr:row>24</xdr:row>
      <xdr:rowOff>247650</xdr:rowOff>
    </xdr:from>
    <xdr:to>
      <xdr:col>12</xdr:col>
      <xdr:colOff>323850</xdr:colOff>
      <xdr:row>24</xdr:row>
      <xdr:rowOff>247650</xdr:rowOff>
    </xdr:to>
    <xdr:sp>
      <xdr:nvSpPr>
        <xdr:cNvPr id="28" name="Line 219"/>
        <xdr:cNvSpPr>
          <a:spLocks/>
        </xdr:cNvSpPr>
      </xdr:nvSpPr>
      <xdr:spPr>
        <a:xfrm flipV="1">
          <a:off x="9953625" y="7791450"/>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247650</xdr:rowOff>
    </xdr:from>
    <xdr:to>
      <xdr:col>15</xdr:col>
      <xdr:colOff>390525</xdr:colOff>
      <xdr:row>25</xdr:row>
      <xdr:rowOff>66675</xdr:rowOff>
    </xdr:to>
    <xdr:sp>
      <xdr:nvSpPr>
        <xdr:cNvPr id="29" name="Line 223"/>
        <xdr:cNvSpPr>
          <a:spLocks/>
        </xdr:cNvSpPr>
      </xdr:nvSpPr>
      <xdr:spPr>
        <a:xfrm>
          <a:off x="12773025" y="7096125"/>
          <a:ext cx="0" cy="1038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28575</xdr:colOff>
      <xdr:row>22</xdr:row>
      <xdr:rowOff>209550</xdr:rowOff>
    </xdr:from>
    <xdr:to>
      <xdr:col>16</xdr:col>
      <xdr:colOff>0</xdr:colOff>
      <xdr:row>22</xdr:row>
      <xdr:rowOff>219075</xdr:rowOff>
    </xdr:to>
    <xdr:sp>
      <xdr:nvSpPr>
        <xdr:cNvPr id="30" name="Line 224"/>
        <xdr:cNvSpPr>
          <a:spLocks/>
        </xdr:cNvSpPr>
      </xdr:nvSpPr>
      <xdr:spPr>
        <a:xfrm flipV="1">
          <a:off x="12411075" y="7058025"/>
          <a:ext cx="7620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1" name="Line 230"/>
        <xdr:cNvSpPr>
          <a:spLocks/>
        </xdr:cNvSpPr>
      </xdr:nvSpPr>
      <xdr:spPr>
        <a:xfrm flipV="1">
          <a:off x="14268450" y="70389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2" name="Line 231"/>
        <xdr:cNvSpPr>
          <a:spLocks/>
        </xdr:cNvSpPr>
      </xdr:nvSpPr>
      <xdr:spPr>
        <a:xfrm>
          <a:off x="15449550" y="78105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285750</xdr:rowOff>
    </xdr:from>
    <xdr:to>
      <xdr:col>19</xdr:col>
      <xdr:colOff>323850</xdr:colOff>
      <xdr:row>26</xdr:row>
      <xdr:rowOff>285750</xdr:rowOff>
    </xdr:to>
    <xdr:sp>
      <xdr:nvSpPr>
        <xdr:cNvPr id="33" name="Line 232"/>
        <xdr:cNvSpPr>
          <a:spLocks/>
        </xdr:cNvSpPr>
      </xdr:nvSpPr>
      <xdr:spPr>
        <a:xfrm>
          <a:off x="15459075" y="852487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28</xdr:row>
      <xdr:rowOff>276225</xdr:rowOff>
    </xdr:from>
    <xdr:to>
      <xdr:col>20</xdr:col>
      <xdr:colOff>0</xdr:colOff>
      <xdr:row>28</xdr:row>
      <xdr:rowOff>276225</xdr:rowOff>
    </xdr:to>
    <xdr:sp>
      <xdr:nvSpPr>
        <xdr:cNvPr id="34" name="Line 233"/>
        <xdr:cNvSpPr>
          <a:spLocks/>
        </xdr:cNvSpPr>
      </xdr:nvSpPr>
      <xdr:spPr>
        <a:xfrm>
          <a:off x="15468600" y="923925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142875</xdr:colOff>
      <xdr:row>14</xdr:row>
      <xdr:rowOff>161925</xdr:rowOff>
    </xdr:from>
    <xdr:to>
      <xdr:col>7</xdr:col>
      <xdr:colOff>142875</xdr:colOff>
      <xdr:row>15</xdr:row>
      <xdr:rowOff>171450</xdr:rowOff>
    </xdr:to>
    <xdr:sp>
      <xdr:nvSpPr>
        <xdr:cNvPr id="35" name="Line 247"/>
        <xdr:cNvSpPr>
          <a:spLocks/>
        </xdr:cNvSpPr>
      </xdr:nvSpPr>
      <xdr:spPr>
        <a:xfrm flipH="1" flipV="1">
          <a:off x="5334000" y="3829050"/>
          <a:ext cx="0" cy="1714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36" name="Line 248"/>
        <xdr:cNvSpPr>
          <a:spLocks/>
        </xdr:cNvSpPr>
      </xdr:nvSpPr>
      <xdr:spPr>
        <a:xfrm flipV="1">
          <a:off x="15459075" y="71532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152400</xdr:rowOff>
    </xdr:from>
    <xdr:to>
      <xdr:col>7</xdr:col>
      <xdr:colOff>1057275</xdr:colOff>
      <xdr:row>10</xdr:row>
      <xdr:rowOff>152400</xdr:rowOff>
    </xdr:to>
    <xdr:sp>
      <xdr:nvSpPr>
        <xdr:cNvPr id="37" name="Line 14"/>
        <xdr:cNvSpPr>
          <a:spLocks/>
        </xdr:cNvSpPr>
      </xdr:nvSpPr>
      <xdr:spPr>
        <a:xfrm flipV="1">
          <a:off x="5486400" y="2409825"/>
          <a:ext cx="7620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133350</xdr:rowOff>
    </xdr:from>
    <xdr:to>
      <xdr:col>7</xdr:col>
      <xdr:colOff>295275</xdr:colOff>
      <xdr:row>12</xdr:row>
      <xdr:rowOff>180975</xdr:rowOff>
    </xdr:to>
    <xdr:sp>
      <xdr:nvSpPr>
        <xdr:cNvPr id="38" name="Line 14"/>
        <xdr:cNvSpPr>
          <a:spLocks/>
        </xdr:cNvSpPr>
      </xdr:nvSpPr>
      <xdr:spPr>
        <a:xfrm flipV="1">
          <a:off x="5486400" y="2390775"/>
          <a:ext cx="0" cy="10191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314325</xdr:colOff>
      <xdr:row>12</xdr:row>
      <xdr:rowOff>161925</xdr:rowOff>
    </xdr:from>
    <xdr:to>
      <xdr:col>7</xdr:col>
      <xdr:colOff>1076325</xdr:colOff>
      <xdr:row>12</xdr:row>
      <xdr:rowOff>161925</xdr:rowOff>
    </xdr:to>
    <xdr:sp>
      <xdr:nvSpPr>
        <xdr:cNvPr id="39" name="Line 14"/>
        <xdr:cNvSpPr>
          <a:spLocks/>
        </xdr:cNvSpPr>
      </xdr:nvSpPr>
      <xdr:spPr>
        <a:xfrm flipV="1">
          <a:off x="5505450" y="3390900"/>
          <a:ext cx="7620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533400</xdr:colOff>
      <xdr:row>72</xdr:row>
      <xdr:rowOff>142875</xdr:rowOff>
    </xdr:from>
    <xdr:to>
      <xdr:col>43</xdr:col>
      <xdr:colOff>9525</xdr:colOff>
      <xdr:row>72</xdr:row>
      <xdr:rowOff>142875</xdr:rowOff>
    </xdr:to>
    <xdr:sp>
      <xdr:nvSpPr>
        <xdr:cNvPr id="40" name="Line 231"/>
        <xdr:cNvSpPr>
          <a:spLocks/>
        </xdr:cNvSpPr>
      </xdr:nvSpPr>
      <xdr:spPr>
        <a:xfrm flipV="1">
          <a:off x="27917775" y="16297275"/>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333375</xdr:rowOff>
    </xdr:from>
    <xdr:to>
      <xdr:col>20</xdr:col>
      <xdr:colOff>9525</xdr:colOff>
      <xdr:row>20</xdr:row>
      <xdr:rowOff>333375</xdr:rowOff>
    </xdr:to>
    <xdr:sp>
      <xdr:nvSpPr>
        <xdr:cNvPr id="41" name="Line 248"/>
        <xdr:cNvSpPr>
          <a:spLocks/>
        </xdr:cNvSpPr>
      </xdr:nvSpPr>
      <xdr:spPr>
        <a:xfrm flipV="1">
          <a:off x="15459075" y="64865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552450</xdr:colOff>
      <xdr:row>15</xdr:row>
      <xdr:rowOff>190500</xdr:rowOff>
    </xdr:from>
    <xdr:to>
      <xdr:col>9</xdr:col>
      <xdr:colOff>552450</xdr:colOff>
      <xdr:row>16</xdr:row>
      <xdr:rowOff>38100</xdr:rowOff>
    </xdr:to>
    <xdr:sp>
      <xdr:nvSpPr>
        <xdr:cNvPr id="42" name="Line 211"/>
        <xdr:cNvSpPr>
          <a:spLocks/>
        </xdr:cNvSpPr>
      </xdr:nvSpPr>
      <xdr:spPr>
        <a:xfrm>
          <a:off x="8124825"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552450</xdr:colOff>
      <xdr:row>15</xdr:row>
      <xdr:rowOff>190500</xdr:rowOff>
    </xdr:from>
    <xdr:to>
      <xdr:col>10</xdr:col>
      <xdr:colOff>552450</xdr:colOff>
      <xdr:row>16</xdr:row>
      <xdr:rowOff>38100</xdr:rowOff>
    </xdr:to>
    <xdr:sp>
      <xdr:nvSpPr>
        <xdr:cNvPr id="43" name="Line 211"/>
        <xdr:cNvSpPr>
          <a:spLocks/>
        </xdr:cNvSpPr>
      </xdr:nvSpPr>
      <xdr:spPr>
        <a:xfrm>
          <a:off x="9315450"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581025</xdr:colOff>
      <xdr:row>16</xdr:row>
      <xdr:rowOff>1057275</xdr:rowOff>
    </xdr:from>
    <xdr:to>
      <xdr:col>9</xdr:col>
      <xdr:colOff>581025</xdr:colOff>
      <xdr:row>18</xdr:row>
      <xdr:rowOff>9525</xdr:rowOff>
    </xdr:to>
    <xdr:sp>
      <xdr:nvSpPr>
        <xdr:cNvPr id="44" name="Line 217"/>
        <xdr:cNvSpPr>
          <a:spLocks/>
        </xdr:cNvSpPr>
      </xdr:nvSpPr>
      <xdr:spPr>
        <a:xfrm>
          <a:off x="8153400"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590550</xdr:colOff>
      <xdr:row>16</xdr:row>
      <xdr:rowOff>1057275</xdr:rowOff>
    </xdr:from>
    <xdr:to>
      <xdr:col>10</xdr:col>
      <xdr:colOff>590550</xdr:colOff>
      <xdr:row>18</xdr:row>
      <xdr:rowOff>9525</xdr:rowOff>
    </xdr:to>
    <xdr:sp>
      <xdr:nvSpPr>
        <xdr:cNvPr id="45" name="Line 217"/>
        <xdr:cNvSpPr>
          <a:spLocks/>
        </xdr:cNvSpPr>
      </xdr:nvSpPr>
      <xdr:spPr>
        <a:xfrm>
          <a:off x="9353550"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6" name="Line 248"/>
        <xdr:cNvSpPr>
          <a:spLocks/>
        </xdr:cNvSpPr>
      </xdr:nvSpPr>
      <xdr:spPr>
        <a:xfrm flipV="1">
          <a:off x="15459075" y="57816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30</xdr:row>
      <xdr:rowOff>219075</xdr:rowOff>
    </xdr:from>
    <xdr:to>
      <xdr:col>20</xdr:col>
      <xdr:colOff>0</xdr:colOff>
      <xdr:row>30</xdr:row>
      <xdr:rowOff>219075</xdr:rowOff>
    </xdr:to>
    <xdr:sp>
      <xdr:nvSpPr>
        <xdr:cNvPr id="47" name="Line 233"/>
        <xdr:cNvSpPr>
          <a:spLocks/>
        </xdr:cNvSpPr>
      </xdr:nvSpPr>
      <xdr:spPr>
        <a:xfrm>
          <a:off x="15468600" y="970597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18</xdr:row>
      <xdr:rowOff>295275</xdr:rowOff>
    </xdr:from>
    <xdr:to>
      <xdr:col>12</xdr:col>
      <xdr:colOff>295275</xdr:colOff>
      <xdr:row>18</xdr:row>
      <xdr:rowOff>295275</xdr:rowOff>
    </xdr:to>
    <xdr:sp>
      <xdr:nvSpPr>
        <xdr:cNvPr id="48" name="Line 204"/>
        <xdr:cNvSpPr>
          <a:spLocks/>
        </xdr:cNvSpPr>
      </xdr:nvSpPr>
      <xdr:spPr>
        <a:xfrm>
          <a:off x="9963150" y="5743575"/>
          <a:ext cx="4667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19050</xdr:rowOff>
    </xdr:from>
    <xdr:to>
      <xdr:col>13</xdr:col>
      <xdr:colOff>104775</xdr:colOff>
      <xdr:row>29</xdr:row>
      <xdr:rowOff>19050</xdr:rowOff>
    </xdr:to>
    <xdr:sp>
      <xdr:nvSpPr>
        <xdr:cNvPr id="1" name="Line 21"/>
        <xdr:cNvSpPr>
          <a:spLocks/>
        </xdr:cNvSpPr>
      </xdr:nvSpPr>
      <xdr:spPr>
        <a:xfrm flipH="1">
          <a:off x="5505450" y="6762750"/>
          <a:ext cx="0"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333375</xdr:rowOff>
    </xdr:from>
    <xdr:to>
      <xdr:col>7</xdr:col>
      <xdr:colOff>104775</xdr:colOff>
      <xdr:row>26</xdr:row>
      <xdr:rowOff>276225</xdr:rowOff>
    </xdr:to>
    <xdr:sp>
      <xdr:nvSpPr>
        <xdr:cNvPr id="2" name="Line 22"/>
        <xdr:cNvSpPr>
          <a:spLocks/>
        </xdr:cNvSpPr>
      </xdr:nvSpPr>
      <xdr:spPr>
        <a:xfrm>
          <a:off x="3981450" y="626745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257175</xdr:colOff>
      <xdr:row>26</xdr:row>
      <xdr:rowOff>0</xdr:rowOff>
    </xdr:from>
    <xdr:to>
      <xdr:col>13</xdr:col>
      <xdr:colOff>257175</xdr:colOff>
      <xdr:row>27</xdr:row>
      <xdr:rowOff>0</xdr:rowOff>
    </xdr:to>
    <xdr:sp>
      <xdr:nvSpPr>
        <xdr:cNvPr id="3" name="Line 23"/>
        <xdr:cNvSpPr>
          <a:spLocks/>
        </xdr:cNvSpPr>
      </xdr:nvSpPr>
      <xdr:spPr>
        <a:xfrm flipH="1" flipV="1">
          <a:off x="5657850" y="627697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6305550" y="6934200"/>
          <a:ext cx="1104900" cy="1057275"/>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285750</xdr:rowOff>
    </xdr:from>
    <xdr:to>
      <xdr:col>12</xdr:col>
      <xdr:colOff>9525</xdr:colOff>
      <xdr:row>29</xdr:row>
      <xdr:rowOff>285750</xdr:rowOff>
    </xdr:to>
    <xdr:sp>
      <xdr:nvSpPr>
        <xdr:cNvPr id="9" name="Line 19"/>
        <xdr:cNvSpPr>
          <a:spLocks/>
        </xdr:cNvSpPr>
      </xdr:nvSpPr>
      <xdr:spPr>
        <a:xfrm flipV="1">
          <a:off x="4391025" y="74580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46</xdr:row>
      <xdr:rowOff>152400</xdr:rowOff>
    </xdr:from>
    <xdr:to>
      <xdr:col>4</xdr:col>
      <xdr:colOff>257175</xdr:colOff>
      <xdr:row>46</xdr:row>
      <xdr:rowOff>152400</xdr:rowOff>
    </xdr:to>
    <xdr:sp>
      <xdr:nvSpPr>
        <xdr:cNvPr id="1" name="Line 21"/>
        <xdr:cNvSpPr>
          <a:spLocks/>
        </xdr:cNvSpPr>
      </xdr:nvSpPr>
      <xdr:spPr>
        <a:xfrm flipV="1">
          <a:off x="3048000" y="907732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48</xdr:row>
      <xdr:rowOff>142875</xdr:rowOff>
    </xdr:from>
    <xdr:to>
      <xdr:col>4</xdr:col>
      <xdr:colOff>238125</xdr:colOff>
      <xdr:row>48</xdr:row>
      <xdr:rowOff>142875</xdr:rowOff>
    </xdr:to>
    <xdr:sp>
      <xdr:nvSpPr>
        <xdr:cNvPr id="2" name="Line 21"/>
        <xdr:cNvSpPr>
          <a:spLocks/>
        </xdr:cNvSpPr>
      </xdr:nvSpPr>
      <xdr:spPr>
        <a:xfrm flipV="1">
          <a:off x="3057525" y="94869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50</xdr:row>
      <xdr:rowOff>152400</xdr:rowOff>
    </xdr:from>
    <xdr:to>
      <xdr:col>4</xdr:col>
      <xdr:colOff>238125</xdr:colOff>
      <xdr:row>50</xdr:row>
      <xdr:rowOff>152400</xdr:rowOff>
    </xdr:to>
    <xdr:sp>
      <xdr:nvSpPr>
        <xdr:cNvPr id="3" name="Line 21"/>
        <xdr:cNvSpPr>
          <a:spLocks/>
        </xdr:cNvSpPr>
      </xdr:nvSpPr>
      <xdr:spPr>
        <a:xfrm flipV="1">
          <a:off x="3048000" y="99631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56</xdr:row>
      <xdr:rowOff>171450</xdr:rowOff>
    </xdr:from>
    <xdr:to>
      <xdr:col>4</xdr:col>
      <xdr:colOff>257175</xdr:colOff>
      <xdr:row>56</xdr:row>
      <xdr:rowOff>171450</xdr:rowOff>
    </xdr:to>
    <xdr:sp>
      <xdr:nvSpPr>
        <xdr:cNvPr id="4" name="Line 21"/>
        <xdr:cNvSpPr>
          <a:spLocks/>
        </xdr:cNvSpPr>
      </xdr:nvSpPr>
      <xdr:spPr>
        <a:xfrm flipV="1">
          <a:off x="3057525" y="112395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58</xdr:row>
      <xdr:rowOff>180975</xdr:rowOff>
    </xdr:from>
    <xdr:to>
      <xdr:col>4</xdr:col>
      <xdr:colOff>247650</xdr:colOff>
      <xdr:row>58</xdr:row>
      <xdr:rowOff>180975</xdr:rowOff>
    </xdr:to>
    <xdr:sp>
      <xdr:nvSpPr>
        <xdr:cNvPr id="5" name="Line 21"/>
        <xdr:cNvSpPr>
          <a:spLocks/>
        </xdr:cNvSpPr>
      </xdr:nvSpPr>
      <xdr:spPr>
        <a:xfrm flipV="1">
          <a:off x="3057525" y="116776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60</xdr:row>
      <xdr:rowOff>171450</xdr:rowOff>
    </xdr:from>
    <xdr:to>
      <xdr:col>4</xdr:col>
      <xdr:colOff>266700</xdr:colOff>
      <xdr:row>60</xdr:row>
      <xdr:rowOff>171450</xdr:rowOff>
    </xdr:to>
    <xdr:sp>
      <xdr:nvSpPr>
        <xdr:cNvPr id="6" name="Line 21"/>
        <xdr:cNvSpPr>
          <a:spLocks/>
        </xdr:cNvSpPr>
      </xdr:nvSpPr>
      <xdr:spPr>
        <a:xfrm>
          <a:off x="3048000" y="1209675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44</xdr:row>
      <xdr:rowOff>123825</xdr:rowOff>
    </xdr:from>
    <xdr:to>
      <xdr:col>9</xdr:col>
      <xdr:colOff>123825</xdr:colOff>
      <xdr:row>44</xdr:row>
      <xdr:rowOff>123825</xdr:rowOff>
    </xdr:to>
    <xdr:sp>
      <xdr:nvSpPr>
        <xdr:cNvPr id="7" name="Line 21"/>
        <xdr:cNvSpPr>
          <a:spLocks/>
        </xdr:cNvSpPr>
      </xdr:nvSpPr>
      <xdr:spPr>
        <a:xfrm>
          <a:off x="4591050" y="86106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44</xdr:row>
      <xdr:rowOff>133350</xdr:rowOff>
    </xdr:from>
    <xdr:to>
      <xdr:col>9</xdr:col>
      <xdr:colOff>133350</xdr:colOff>
      <xdr:row>57</xdr:row>
      <xdr:rowOff>95250</xdr:rowOff>
    </xdr:to>
    <xdr:sp>
      <xdr:nvSpPr>
        <xdr:cNvPr id="8" name="Line 18"/>
        <xdr:cNvSpPr>
          <a:spLocks/>
        </xdr:cNvSpPr>
      </xdr:nvSpPr>
      <xdr:spPr>
        <a:xfrm>
          <a:off x="4819650" y="8620125"/>
          <a:ext cx="0" cy="28194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28575</xdr:colOff>
      <xdr:row>47</xdr:row>
      <xdr:rowOff>95250</xdr:rowOff>
    </xdr:from>
    <xdr:to>
      <xdr:col>9</xdr:col>
      <xdr:colOff>133350</xdr:colOff>
      <xdr:row>47</xdr:row>
      <xdr:rowOff>95250</xdr:rowOff>
    </xdr:to>
    <xdr:sp>
      <xdr:nvSpPr>
        <xdr:cNvPr id="9" name="Line 21"/>
        <xdr:cNvSpPr>
          <a:spLocks/>
        </xdr:cNvSpPr>
      </xdr:nvSpPr>
      <xdr:spPr>
        <a:xfrm flipV="1">
          <a:off x="4610100" y="929640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50</xdr:row>
      <xdr:rowOff>161925</xdr:rowOff>
    </xdr:from>
    <xdr:to>
      <xdr:col>9</xdr:col>
      <xdr:colOff>161925</xdr:colOff>
      <xdr:row>50</xdr:row>
      <xdr:rowOff>161925</xdr:rowOff>
    </xdr:to>
    <xdr:sp>
      <xdr:nvSpPr>
        <xdr:cNvPr id="10" name="Line 21"/>
        <xdr:cNvSpPr>
          <a:spLocks/>
        </xdr:cNvSpPr>
      </xdr:nvSpPr>
      <xdr:spPr>
        <a:xfrm flipV="1">
          <a:off x="4619625" y="99726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57</xdr:row>
      <xdr:rowOff>95250</xdr:rowOff>
    </xdr:from>
    <xdr:to>
      <xdr:col>9</xdr:col>
      <xdr:colOff>133350</xdr:colOff>
      <xdr:row>57</xdr:row>
      <xdr:rowOff>95250</xdr:rowOff>
    </xdr:to>
    <xdr:sp>
      <xdr:nvSpPr>
        <xdr:cNvPr id="11" name="Line 21"/>
        <xdr:cNvSpPr>
          <a:spLocks/>
        </xdr:cNvSpPr>
      </xdr:nvSpPr>
      <xdr:spPr>
        <a:xfrm>
          <a:off x="4619625" y="1143952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50</xdr:row>
      <xdr:rowOff>19050</xdr:rowOff>
    </xdr:from>
    <xdr:to>
      <xdr:col>11</xdr:col>
      <xdr:colOff>38100</xdr:colOff>
      <xdr:row>50</xdr:row>
      <xdr:rowOff>19050</xdr:rowOff>
    </xdr:to>
    <xdr:sp>
      <xdr:nvSpPr>
        <xdr:cNvPr id="12" name="Line 21"/>
        <xdr:cNvSpPr>
          <a:spLocks/>
        </xdr:cNvSpPr>
      </xdr:nvSpPr>
      <xdr:spPr>
        <a:xfrm>
          <a:off x="4848225" y="9829800"/>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45</xdr:row>
      <xdr:rowOff>9525</xdr:rowOff>
    </xdr:from>
    <xdr:to>
      <xdr:col>4</xdr:col>
      <xdr:colOff>247650</xdr:colOff>
      <xdr:row>60</xdr:row>
      <xdr:rowOff>180975</xdr:rowOff>
    </xdr:to>
    <xdr:sp>
      <xdr:nvSpPr>
        <xdr:cNvPr id="13" name="Line 18"/>
        <xdr:cNvSpPr>
          <a:spLocks/>
        </xdr:cNvSpPr>
      </xdr:nvSpPr>
      <xdr:spPr>
        <a:xfrm flipH="1">
          <a:off x="3295650" y="8743950"/>
          <a:ext cx="0" cy="33623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49</xdr:row>
      <xdr:rowOff>171450</xdr:rowOff>
    </xdr:from>
    <xdr:to>
      <xdr:col>23</xdr:col>
      <xdr:colOff>209550</xdr:colOff>
      <xdr:row>49</xdr:row>
      <xdr:rowOff>171450</xdr:rowOff>
    </xdr:to>
    <xdr:sp>
      <xdr:nvSpPr>
        <xdr:cNvPr id="14" name="Line 21"/>
        <xdr:cNvSpPr>
          <a:spLocks/>
        </xdr:cNvSpPr>
      </xdr:nvSpPr>
      <xdr:spPr>
        <a:xfrm flipV="1">
          <a:off x="7219950" y="979170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48</xdr:row>
      <xdr:rowOff>9525</xdr:rowOff>
    </xdr:from>
    <xdr:to>
      <xdr:col>23</xdr:col>
      <xdr:colOff>190500</xdr:colOff>
      <xdr:row>60</xdr:row>
      <xdr:rowOff>95250</xdr:rowOff>
    </xdr:to>
    <xdr:sp>
      <xdr:nvSpPr>
        <xdr:cNvPr id="15" name="Line 18"/>
        <xdr:cNvSpPr>
          <a:spLocks/>
        </xdr:cNvSpPr>
      </xdr:nvSpPr>
      <xdr:spPr>
        <a:xfrm>
          <a:off x="8410575" y="9353550"/>
          <a:ext cx="0" cy="2667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52</xdr:row>
      <xdr:rowOff>104775</xdr:rowOff>
    </xdr:from>
    <xdr:to>
      <xdr:col>26</xdr:col>
      <xdr:colOff>19050</xdr:colOff>
      <xdr:row>52</xdr:row>
      <xdr:rowOff>104775</xdr:rowOff>
    </xdr:to>
    <xdr:sp>
      <xdr:nvSpPr>
        <xdr:cNvPr id="16" name="Line 21"/>
        <xdr:cNvSpPr>
          <a:spLocks/>
        </xdr:cNvSpPr>
      </xdr:nvSpPr>
      <xdr:spPr>
        <a:xfrm>
          <a:off x="8410575" y="103251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54</xdr:row>
      <xdr:rowOff>104775</xdr:rowOff>
    </xdr:from>
    <xdr:to>
      <xdr:col>26</xdr:col>
      <xdr:colOff>19050</xdr:colOff>
      <xdr:row>54</xdr:row>
      <xdr:rowOff>104775</xdr:rowOff>
    </xdr:to>
    <xdr:sp>
      <xdr:nvSpPr>
        <xdr:cNvPr id="17" name="Line 21"/>
        <xdr:cNvSpPr>
          <a:spLocks/>
        </xdr:cNvSpPr>
      </xdr:nvSpPr>
      <xdr:spPr>
        <a:xfrm flipV="1">
          <a:off x="8429625" y="1076325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60</xdr:row>
      <xdr:rowOff>76200</xdr:rowOff>
    </xdr:from>
    <xdr:to>
      <xdr:col>26</xdr:col>
      <xdr:colOff>28575</xdr:colOff>
      <xdr:row>60</xdr:row>
      <xdr:rowOff>76200</xdr:rowOff>
    </xdr:to>
    <xdr:sp>
      <xdr:nvSpPr>
        <xdr:cNvPr id="18" name="Line 21"/>
        <xdr:cNvSpPr>
          <a:spLocks/>
        </xdr:cNvSpPr>
      </xdr:nvSpPr>
      <xdr:spPr>
        <a:xfrm flipV="1">
          <a:off x="8420100" y="120015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56</xdr:row>
      <xdr:rowOff>114300</xdr:rowOff>
    </xdr:from>
    <xdr:to>
      <xdr:col>26</xdr:col>
      <xdr:colOff>0</xdr:colOff>
      <xdr:row>56</xdr:row>
      <xdr:rowOff>114300</xdr:rowOff>
    </xdr:to>
    <xdr:sp>
      <xdr:nvSpPr>
        <xdr:cNvPr id="19" name="Line 21"/>
        <xdr:cNvSpPr>
          <a:spLocks/>
        </xdr:cNvSpPr>
      </xdr:nvSpPr>
      <xdr:spPr>
        <a:xfrm flipV="1">
          <a:off x="8410575" y="1118235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95250</xdr:rowOff>
    </xdr:from>
    <xdr:to>
      <xdr:col>26</xdr:col>
      <xdr:colOff>9525</xdr:colOff>
      <xdr:row>58</xdr:row>
      <xdr:rowOff>95250</xdr:rowOff>
    </xdr:to>
    <xdr:sp>
      <xdr:nvSpPr>
        <xdr:cNvPr id="20" name="Line 21"/>
        <xdr:cNvSpPr>
          <a:spLocks/>
        </xdr:cNvSpPr>
      </xdr:nvSpPr>
      <xdr:spPr>
        <a:xfrm flipV="1">
          <a:off x="8410575" y="1159192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50</xdr:row>
      <xdr:rowOff>19050</xdr:rowOff>
    </xdr:from>
    <xdr:to>
      <xdr:col>15</xdr:col>
      <xdr:colOff>381000</xdr:colOff>
      <xdr:row>58</xdr:row>
      <xdr:rowOff>19050</xdr:rowOff>
    </xdr:to>
    <xdr:grpSp>
      <xdr:nvGrpSpPr>
        <xdr:cNvPr id="21" name="Group 2"/>
        <xdr:cNvGrpSpPr>
          <a:grpSpLocks/>
        </xdr:cNvGrpSpPr>
      </xdr:nvGrpSpPr>
      <xdr:grpSpPr>
        <a:xfrm>
          <a:off x="6096000" y="9829800"/>
          <a:ext cx="485775" cy="168592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52</xdr:row>
      <xdr:rowOff>180975</xdr:rowOff>
    </xdr:from>
    <xdr:to>
      <xdr:col>4</xdr:col>
      <xdr:colOff>238125</xdr:colOff>
      <xdr:row>52</xdr:row>
      <xdr:rowOff>180975</xdr:rowOff>
    </xdr:to>
    <xdr:sp>
      <xdr:nvSpPr>
        <xdr:cNvPr id="24" name="Line 21"/>
        <xdr:cNvSpPr>
          <a:spLocks/>
        </xdr:cNvSpPr>
      </xdr:nvSpPr>
      <xdr:spPr>
        <a:xfrm flipV="1">
          <a:off x="3048000" y="1040130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180975</xdr:rowOff>
    </xdr:from>
    <xdr:to>
      <xdr:col>4</xdr:col>
      <xdr:colOff>247650</xdr:colOff>
      <xdr:row>54</xdr:row>
      <xdr:rowOff>180975</xdr:rowOff>
    </xdr:to>
    <xdr:sp>
      <xdr:nvSpPr>
        <xdr:cNvPr id="25" name="Line 21"/>
        <xdr:cNvSpPr>
          <a:spLocks/>
        </xdr:cNvSpPr>
      </xdr:nvSpPr>
      <xdr:spPr>
        <a:xfrm flipV="1">
          <a:off x="3057525" y="108394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48</xdr:row>
      <xdr:rowOff>38100</xdr:rowOff>
    </xdr:from>
    <xdr:to>
      <xdr:col>26</xdr:col>
      <xdr:colOff>28575</xdr:colOff>
      <xdr:row>48</xdr:row>
      <xdr:rowOff>38100</xdr:rowOff>
    </xdr:to>
    <xdr:sp>
      <xdr:nvSpPr>
        <xdr:cNvPr id="26" name="Line 21"/>
        <xdr:cNvSpPr>
          <a:spLocks/>
        </xdr:cNvSpPr>
      </xdr:nvSpPr>
      <xdr:spPr>
        <a:xfrm>
          <a:off x="8420100" y="938212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50</xdr:row>
      <xdr:rowOff>57150</xdr:rowOff>
    </xdr:from>
    <xdr:to>
      <xdr:col>26</xdr:col>
      <xdr:colOff>9525</xdr:colOff>
      <xdr:row>50</xdr:row>
      <xdr:rowOff>57150</xdr:rowOff>
    </xdr:to>
    <xdr:sp>
      <xdr:nvSpPr>
        <xdr:cNvPr id="27" name="Line 21"/>
        <xdr:cNvSpPr>
          <a:spLocks/>
        </xdr:cNvSpPr>
      </xdr:nvSpPr>
      <xdr:spPr>
        <a:xfrm>
          <a:off x="8401050" y="98679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314325</xdr:rowOff>
    </xdr:from>
    <xdr:to>
      <xdr:col>10</xdr:col>
      <xdr:colOff>0</xdr:colOff>
      <xdr:row>32</xdr:row>
      <xdr:rowOff>314325</xdr:rowOff>
    </xdr:to>
    <xdr:sp>
      <xdr:nvSpPr>
        <xdr:cNvPr id="1" name="Line 15"/>
        <xdr:cNvSpPr>
          <a:spLocks/>
        </xdr:cNvSpPr>
      </xdr:nvSpPr>
      <xdr:spPr>
        <a:xfrm>
          <a:off x="3219450" y="7505700"/>
          <a:ext cx="2038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314325</xdr:rowOff>
    </xdr:from>
    <xdr:to>
      <xdr:col>5</xdr:col>
      <xdr:colOff>238125</xdr:colOff>
      <xdr:row>41</xdr:row>
      <xdr:rowOff>0</xdr:rowOff>
    </xdr:to>
    <xdr:sp>
      <xdr:nvSpPr>
        <xdr:cNvPr id="2" name="Line 16"/>
        <xdr:cNvSpPr>
          <a:spLocks/>
        </xdr:cNvSpPr>
      </xdr:nvSpPr>
      <xdr:spPr>
        <a:xfrm>
          <a:off x="4029075" y="7505700"/>
          <a:ext cx="0" cy="1533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32</xdr:row>
      <xdr:rowOff>352425</xdr:rowOff>
    </xdr:from>
    <xdr:to>
      <xdr:col>17</xdr:col>
      <xdr:colOff>323850</xdr:colOff>
      <xdr:row>32</xdr:row>
      <xdr:rowOff>352425</xdr:rowOff>
    </xdr:to>
    <xdr:sp>
      <xdr:nvSpPr>
        <xdr:cNvPr id="3" name="Line 17"/>
        <xdr:cNvSpPr>
          <a:spLocks/>
        </xdr:cNvSpPr>
      </xdr:nvSpPr>
      <xdr:spPr>
        <a:xfrm flipV="1">
          <a:off x="6286500" y="754380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17</xdr:col>
      <xdr:colOff>314325</xdr:colOff>
      <xdr:row>42</xdr:row>
      <xdr:rowOff>228600</xdr:rowOff>
    </xdr:to>
    <xdr:sp>
      <xdr:nvSpPr>
        <xdr:cNvPr id="4" name="Line 18"/>
        <xdr:cNvSpPr>
          <a:spLocks/>
        </xdr:cNvSpPr>
      </xdr:nvSpPr>
      <xdr:spPr>
        <a:xfrm flipH="1">
          <a:off x="7191375" y="6953250"/>
          <a:ext cx="0" cy="2343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20</xdr:col>
      <xdr:colOff>9525</xdr:colOff>
      <xdr:row>30</xdr:row>
      <xdr:rowOff>66675</xdr:rowOff>
    </xdr:to>
    <xdr:sp>
      <xdr:nvSpPr>
        <xdr:cNvPr id="5" name="Line 19"/>
        <xdr:cNvSpPr>
          <a:spLocks/>
        </xdr:cNvSpPr>
      </xdr:nvSpPr>
      <xdr:spPr>
        <a:xfrm flipV="1">
          <a:off x="7191375" y="6953250"/>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32</xdr:row>
      <xdr:rowOff>219075</xdr:rowOff>
    </xdr:from>
    <xdr:to>
      <xdr:col>20</xdr:col>
      <xdr:colOff>9525</xdr:colOff>
      <xdr:row>32</xdr:row>
      <xdr:rowOff>219075</xdr:rowOff>
    </xdr:to>
    <xdr:sp>
      <xdr:nvSpPr>
        <xdr:cNvPr id="6" name="Line 20"/>
        <xdr:cNvSpPr>
          <a:spLocks/>
        </xdr:cNvSpPr>
      </xdr:nvSpPr>
      <xdr:spPr>
        <a:xfrm>
          <a:off x="7200900" y="74104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36</xdr:row>
      <xdr:rowOff>161925</xdr:rowOff>
    </xdr:from>
    <xdr:to>
      <xdr:col>20</xdr:col>
      <xdr:colOff>9525</xdr:colOff>
      <xdr:row>36</xdr:row>
      <xdr:rowOff>161925</xdr:rowOff>
    </xdr:to>
    <xdr:sp>
      <xdr:nvSpPr>
        <xdr:cNvPr id="7" name="Line 21"/>
        <xdr:cNvSpPr>
          <a:spLocks/>
        </xdr:cNvSpPr>
      </xdr:nvSpPr>
      <xdr:spPr>
        <a:xfrm>
          <a:off x="7200900" y="81248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40</xdr:row>
      <xdr:rowOff>152400</xdr:rowOff>
    </xdr:from>
    <xdr:to>
      <xdr:col>20</xdr:col>
      <xdr:colOff>9525</xdr:colOff>
      <xdr:row>40</xdr:row>
      <xdr:rowOff>152400</xdr:rowOff>
    </xdr:to>
    <xdr:sp>
      <xdr:nvSpPr>
        <xdr:cNvPr id="8" name="Line 22"/>
        <xdr:cNvSpPr>
          <a:spLocks/>
        </xdr:cNvSpPr>
      </xdr:nvSpPr>
      <xdr:spPr>
        <a:xfrm flipV="1">
          <a:off x="7210425" y="88868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42</xdr:row>
      <xdr:rowOff>209550</xdr:rowOff>
    </xdr:from>
    <xdr:to>
      <xdr:col>19</xdr:col>
      <xdr:colOff>400050</xdr:colOff>
      <xdr:row>42</xdr:row>
      <xdr:rowOff>209550</xdr:rowOff>
    </xdr:to>
    <xdr:sp>
      <xdr:nvSpPr>
        <xdr:cNvPr id="9" name="Line 23"/>
        <xdr:cNvSpPr>
          <a:spLocks/>
        </xdr:cNvSpPr>
      </xdr:nvSpPr>
      <xdr:spPr>
        <a:xfrm flipV="1">
          <a:off x="7200900" y="927735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34</xdr:row>
      <xdr:rowOff>180975</xdr:rowOff>
    </xdr:from>
    <xdr:to>
      <xdr:col>20</xdr:col>
      <xdr:colOff>19050</xdr:colOff>
      <xdr:row>34</xdr:row>
      <xdr:rowOff>180975</xdr:rowOff>
    </xdr:to>
    <xdr:sp>
      <xdr:nvSpPr>
        <xdr:cNvPr id="10" name="Line 20"/>
        <xdr:cNvSpPr>
          <a:spLocks/>
        </xdr:cNvSpPr>
      </xdr:nvSpPr>
      <xdr:spPr>
        <a:xfrm>
          <a:off x="7210425" y="77628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38</xdr:row>
      <xdr:rowOff>180975</xdr:rowOff>
    </xdr:from>
    <xdr:to>
      <xdr:col>19</xdr:col>
      <xdr:colOff>400050</xdr:colOff>
      <xdr:row>38</xdr:row>
      <xdr:rowOff>180975</xdr:rowOff>
    </xdr:to>
    <xdr:sp>
      <xdr:nvSpPr>
        <xdr:cNvPr id="11" name="Line 20"/>
        <xdr:cNvSpPr>
          <a:spLocks/>
        </xdr:cNvSpPr>
      </xdr:nvSpPr>
      <xdr:spPr>
        <a:xfrm>
          <a:off x="7191375" y="853440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19050</xdr:rowOff>
    </xdr:from>
    <xdr:to>
      <xdr:col>9</xdr:col>
      <xdr:colOff>28575</xdr:colOff>
      <xdr:row>39</xdr:row>
      <xdr:rowOff>19050</xdr:rowOff>
    </xdr:to>
    <xdr:sp>
      <xdr:nvSpPr>
        <xdr:cNvPr id="1" name="Line 18"/>
        <xdr:cNvSpPr>
          <a:spLocks/>
        </xdr:cNvSpPr>
      </xdr:nvSpPr>
      <xdr:spPr>
        <a:xfrm flipH="1" flipV="1">
          <a:off x="3543300" y="10001250"/>
          <a:ext cx="16573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238125</xdr:colOff>
      <xdr:row>33</xdr:row>
      <xdr:rowOff>123825</xdr:rowOff>
    </xdr:to>
    <xdr:sp>
      <xdr:nvSpPr>
        <xdr:cNvPr id="2" name="Line 18"/>
        <xdr:cNvSpPr>
          <a:spLocks/>
        </xdr:cNvSpPr>
      </xdr:nvSpPr>
      <xdr:spPr>
        <a:xfrm flipH="1" flipV="1">
          <a:off x="3324225" y="86868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133350</xdr:rowOff>
    </xdr:from>
    <xdr:to>
      <xdr:col>4</xdr:col>
      <xdr:colOff>238125</xdr:colOff>
      <xdr:row>37</xdr:row>
      <xdr:rowOff>133350</xdr:rowOff>
    </xdr:to>
    <xdr:sp>
      <xdr:nvSpPr>
        <xdr:cNvPr id="3" name="Line 18"/>
        <xdr:cNvSpPr>
          <a:spLocks/>
        </xdr:cNvSpPr>
      </xdr:nvSpPr>
      <xdr:spPr>
        <a:xfrm flipH="1" flipV="1">
          <a:off x="3324225" y="96393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4" name="Line 18"/>
        <xdr:cNvSpPr>
          <a:spLocks/>
        </xdr:cNvSpPr>
      </xdr:nvSpPr>
      <xdr:spPr>
        <a:xfrm flipH="1" flipV="1">
          <a:off x="3324225" y="101060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133350</xdr:rowOff>
    </xdr:from>
    <xdr:to>
      <xdr:col>4</xdr:col>
      <xdr:colOff>238125</xdr:colOff>
      <xdr:row>43</xdr:row>
      <xdr:rowOff>133350</xdr:rowOff>
    </xdr:to>
    <xdr:sp>
      <xdr:nvSpPr>
        <xdr:cNvPr id="5" name="Line 18"/>
        <xdr:cNvSpPr>
          <a:spLocks/>
        </xdr:cNvSpPr>
      </xdr:nvSpPr>
      <xdr:spPr>
        <a:xfrm flipH="1" flipV="1">
          <a:off x="3324225" y="111252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247650</xdr:colOff>
      <xdr:row>45</xdr:row>
      <xdr:rowOff>114300</xdr:rowOff>
    </xdr:to>
    <xdr:sp>
      <xdr:nvSpPr>
        <xdr:cNvPr id="6" name="Line 18"/>
        <xdr:cNvSpPr>
          <a:spLocks/>
        </xdr:cNvSpPr>
      </xdr:nvSpPr>
      <xdr:spPr>
        <a:xfrm flipH="1" flipV="1">
          <a:off x="3333750" y="115728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3552825" y="8677275"/>
          <a:ext cx="0" cy="29051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19050</xdr:rowOff>
    </xdr:from>
    <xdr:to>
      <xdr:col>19</xdr:col>
      <xdr:colOff>38100</xdr:colOff>
      <xdr:row>39</xdr:row>
      <xdr:rowOff>19050</xdr:rowOff>
    </xdr:to>
    <xdr:sp>
      <xdr:nvSpPr>
        <xdr:cNvPr id="8" name="Line 18"/>
        <xdr:cNvSpPr>
          <a:spLocks/>
        </xdr:cNvSpPr>
      </xdr:nvSpPr>
      <xdr:spPr>
        <a:xfrm flipH="1" flipV="1">
          <a:off x="6572250" y="1000125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734300" y="8763000"/>
          <a:ext cx="0" cy="2847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209550</xdr:rowOff>
    </xdr:from>
    <xdr:to>
      <xdr:col>19</xdr:col>
      <xdr:colOff>400050</xdr:colOff>
      <xdr:row>33</xdr:row>
      <xdr:rowOff>209550</xdr:rowOff>
    </xdr:to>
    <xdr:sp>
      <xdr:nvSpPr>
        <xdr:cNvPr id="10" name="Line 18"/>
        <xdr:cNvSpPr>
          <a:spLocks/>
        </xdr:cNvSpPr>
      </xdr:nvSpPr>
      <xdr:spPr>
        <a:xfrm flipH="1" flipV="1">
          <a:off x="7753350" y="87725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753350" y="96678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209550</xdr:rowOff>
    </xdr:from>
    <xdr:to>
      <xdr:col>19</xdr:col>
      <xdr:colOff>390525</xdr:colOff>
      <xdr:row>41</xdr:row>
      <xdr:rowOff>209550</xdr:rowOff>
    </xdr:to>
    <xdr:sp>
      <xdr:nvSpPr>
        <xdr:cNvPr id="12" name="Line 18"/>
        <xdr:cNvSpPr>
          <a:spLocks/>
        </xdr:cNvSpPr>
      </xdr:nvSpPr>
      <xdr:spPr>
        <a:xfrm flipH="1" flipV="1">
          <a:off x="7753350" y="106965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13" name="Line 18"/>
        <xdr:cNvSpPr>
          <a:spLocks/>
        </xdr:cNvSpPr>
      </xdr:nvSpPr>
      <xdr:spPr>
        <a:xfrm flipH="1">
          <a:off x="7743825" y="11601450"/>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2667000</xdr:colOff>
      <xdr:row>35</xdr:row>
      <xdr:rowOff>190500</xdr:rowOff>
    </xdr:from>
    <xdr:to>
      <xdr:col>4</xdr:col>
      <xdr:colOff>228600</xdr:colOff>
      <xdr:row>35</xdr:row>
      <xdr:rowOff>190500</xdr:rowOff>
    </xdr:to>
    <xdr:sp>
      <xdr:nvSpPr>
        <xdr:cNvPr id="14" name="Line 18"/>
        <xdr:cNvSpPr>
          <a:spLocks/>
        </xdr:cNvSpPr>
      </xdr:nvSpPr>
      <xdr:spPr>
        <a:xfrm flipH="1" flipV="1">
          <a:off x="3314700" y="92392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247650</xdr:colOff>
      <xdr:row>41</xdr:row>
      <xdr:rowOff>200025</xdr:rowOff>
    </xdr:to>
    <xdr:sp>
      <xdr:nvSpPr>
        <xdr:cNvPr id="15" name="Line 18"/>
        <xdr:cNvSpPr>
          <a:spLocks/>
        </xdr:cNvSpPr>
      </xdr:nvSpPr>
      <xdr:spPr>
        <a:xfrm flipH="1" flipV="1">
          <a:off x="3333750" y="106870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6:M38"/>
  <sheetViews>
    <sheetView showGridLines="0" showRowColHeaders="0" zoomScalePageLayoutView="0" workbookViewId="0" topLeftCell="A1">
      <selection activeCell="A1" sqref="A1"/>
    </sheetView>
  </sheetViews>
  <sheetFormatPr defaultColWidth="9.33203125" defaultRowHeight="12.75"/>
  <cols>
    <col min="1" max="1" width="2" style="0" customWidth="1"/>
    <col min="2" max="2" width="23.66015625" style="0" customWidth="1"/>
    <col min="3" max="3" width="32.5" style="0" customWidth="1"/>
    <col min="11" max="11" width="6" style="0" customWidth="1"/>
    <col min="12" max="12" width="9.33203125" style="90" customWidth="1"/>
  </cols>
  <sheetData>
    <row r="1" ht="12.75"/>
    <row r="2" ht="12.75"/>
    <row r="3" ht="12.75"/>
    <row r="4" ht="12.75"/>
    <row r="5" ht="12.75"/>
    <row r="6" ht="22.5" customHeight="1">
      <c r="B6" s="99" t="s">
        <v>4</v>
      </c>
    </row>
    <row r="7" spans="2:13" ht="24.75" customHeight="1">
      <c r="B7" s="684" t="s">
        <v>625</v>
      </c>
      <c r="C7" s="684"/>
      <c r="D7" s="684"/>
      <c r="E7" s="684"/>
      <c r="F7" s="684"/>
      <c r="G7" s="684"/>
      <c r="H7" s="684"/>
      <c r="I7" s="684"/>
      <c r="J7" s="684"/>
      <c r="K7" s="684"/>
      <c r="L7" s="684"/>
      <c r="M7" s="684"/>
    </row>
    <row r="8" spans="2:13" ht="24.75" customHeight="1">
      <c r="B8" s="687" t="s">
        <v>532</v>
      </c>
      <c r="C8" s="687"/>
      <c r="D8" s="687"/>
      <c r="E8" s="687"/>
      <c r="F8" s="687"/>
      <c r="G8" s="687"/>
      <c r="H8" s="687"/>
      <c r="I8" s="687"/>
      <c r="J8" s="687"/>
      <c r="K8" s="687"/>
      <c r="L8" s="687"/>
      <c r="M8" s="687"/>
    </row>
    <row r="10" spans="2:4" ht="18">
      <c r="B10" s="119" t="s">
        <v>309</v>
      </c>
      <c r="C10" s="120"/>
      <c r="D10" s="3"/>
    </row>
    <row r="11" spans="2:4" ht="10.5" customHeight="1">
      <c r="B11" s="4"/>
      <c r="C11" s="3"/>
      <c r="D11" s="3"/>
    </row>
    <row r="12" spans="1:13" s="23" customFormat="1" ht="16.5" customHeight="1">
      <c r="A12" s="18"/>
      <c r="B12" s="688" t="s">
        <v>316</v>
      </c>
      <c r="C12" s="688"/>
      <c r="D12" s="688"/>
      <c r="E12" s="688"/>
      <c r="F12" s="688"/>
      <c r="G12" s="688"/>
      <c r="H12" s="688"/>
      <c r="I12" s="688"/>
      <c r="J12" s="688"/>
      <c r="K12" s="688"/>
      <c r="L12" s="688"/>
      <c r="M12" s="688"/>
    </row>
    <row r="13" spans="2:13" ht="10.5" customHeight="1">
      <c r="B13" s="121"/>
      <c r="C13" s="122"/>
      <c r="D13" s="121"/>
      <c r="E13" s="10"/>
      <c r="F13" s="121"/>
      <c r="G13" s="54"/>
      <c r="H13" s="54"/>
      <c r="I13" s="54"/>
      <c r="J13" s="54"/>
      <c r="K13" s="54"/>
      <c r="L13" s="633"/>
      <c r="M13" s="634"/>
    </row>
    <row r="14" spans="2:11" ht="15.75" customHeight="1">
      <c r="B14" s="123" t="s">
        <v>317</v>
      </c>
      <c r="C14" s="689" t="s">
        <v>506</v>
      </c>
      <c r="D14" s="689"/>
      <c r="E14" s="689"/>
      <c r="F14" s="689"/>
      <c r="G14" s="689"/>
      <c r="H14" s="689"/>
      <c r="I14" s="689"/>
      <c r="J14" s="689"/>
      <c r="K14" s="689"/>
    </row>
    <row r="15" spans="2:11" ht="7.5" customHeight="1">
      <c r="B15" s="124"/>
      <c r="C15" s="685"/>
      <c r="D15" s="690"/>
      <c r="E15" s="690"/>
      <c r="F15" s="690"/>
      <c r="G15" s="690"/>
      <c r="H15" s="690"/>
      <c r="I15" s="690"/>
      <c r="J15" s="690"/>
      <c r="K15" s="691"/>
    </row>
    <row r="16" spans="2:11" ht="15.75" customHeight="1">
      <c r="B16" s="124" t="s">
        <v>318</v>
      </c>
      <c r="C16" s="685" t="s">
        <v>320</v>
      </c>
      <c r="D16" s="690"/>
      <c r="E16" s="690"/>
      <c r="F16" s="690"/>
      <c r="G16" s="690"/>
      <c r="H16" s="690"/>
      <c r="I16" s="690"/>
      <c r="J16" s="690"/>
      <c r="K16" s="691"/>
    </row>
    <row r="17" spans="2:11" ht="7.5" customHeight="1">
      <c r="B17" s="124"/>
      <c r="C17" s="685"/>
      <c r="D17" s="690"/>
      <c r="E17" s="690"/>
      <c r="F17" s="690"/>
      <c r="G17" s="690"/>
      <c r="H17" s="690"/>
      <c r="I17" s="690"/>
      <c r="J17" s="690"/>
      <c r="K17" s="691"/>
    </row>
    <row r="18" spans="2:12" ht="15.75" customHeight="1">
      <c r="B18" s="124" t="s">
        <v>321</v>
      </c>
      <c r="C18" s="685" t="s">
        <v>146</v>
      </c>
      <c r="D18" s="686"/>
      <c r="E18" s="686"/>
      <c r="F18" s="686"/>
      <c r="G18" s="686"/>
      <c r="H18" s="686"/>
      <c r="I18" s="686"/>
      <c r="J18" s="686"/>
      <c r="K18" s="686"/>
      <c r="L18" s="90" t="s">
        <v>77</v>
      </c>
    </row>
    <row r="19" spans="2:11" ht="7.5" customHeight="1">
      <c r="B19" s="124"/>
      <c r="C19" s="685"/>
      <c r="D19" s="690"/>
      <c r="E19" s="690"/>
      <c r="F19" s="690"/>
      <c r="G19" s="690"/>
      <c r="H19" s="690"/>
      <c r="I19" s="690"/>
      <c r="J19" s="690"/>
      <c r="K19" s="691"/>
    </row>
    <row r="20" spans="2:12" ht="15.75" customHeight="1">
      <c r="B20" s="124" t="s">
        <v>322</v>
      </c>
      <c r="C20" s="685" t="s">
        <v>86</v>
      </c>
      <c r="D20" s="686"/>
      <c r="E20" s="686"/>
      <c r="F20" s="686"/>
      <c r="G20" s="686"/>
      <c r="H20" s="686"/>
      <c r="I20" s="686"/>
      <c r="J20" s="686"/>
      <c r="K20" s="686"/>
      <c r="L20" s="90" t="s">
        <v>306</v>
      </c>
    </row>
    <row r="21" spans="2:11" ht="7.5" customHeight="1">
      <c r="B21" s="124"/>
      <c r="C21" s="685"/>
      <c r="D21" s="690"/>
      <c r="E21" s="690"/>
      <c r="F21" s="690"/>
      <c r="G21" s="690"/>
      <c r="H21" s="690"/>
      <c r="I21" s="690"/>
      <c r="J21" s="690"/>
      <c r="K21" s="691"/>
    </row>
    <row r="22" spans="2:12" ht="15.75" customHeight="1">
      <c r="B22" s="124" t="s">
        <v>323</v>
      </c>
      <c r="C22" s="685" t="s">
        <v>50</v>
      </c>
      <c r="D22" s="686"/>
      <c r="E22" s="686"/>
      <c r="F22" s="686"/>
      <c r="G22" s="686"/>
      <c r="H22" s="686"/>
      <c r="I22" s="686"/>
      <c r="J22" s="686"/>
      <c r="K22" s="686"/>
      <c r="L22" s="90" t="s">
        <v>82</v>
      </c>
    </row>
    <row r="23" spans="2:11" ht="7.5" customHeight="1">
      <c r="B23" s="124"/>
      <c r="C23" s="685"/>
      <c r="D23" s="690"/>
      <c r="E23" s="690"/>
      <c r="F23" s="690"/>
      <c r="G23" s="690"/>
      <c r="H23" s="690"/>
      <c r="I23" s="690"/>
      <c r="J23" s="690"/>
      <c r="K23" s="691"/>
    </row>
    <row r="24" spans="2:12" ht="15.75" customHeight="1">
      <c r="B24" s="124" t="s">
        <v>277</v>
      </c>
      <c r="C24" s="685" t="s">
        <v>87</v>
      </c>
      <c r="D24" s="690"/>
      <c r="E24" s="690"/>
      <c r="F24" s="690"/>
      <c r="G24" s="690"/>
      <c r="H24" s="690"/>
      <c r="I24" s="690"/>
      <c r="J24" s="690"/>
      <c r="K24" s="691"/>
      <c r="L24" s="90" t="s">
        <v>35</v>
      </c>
    </row>
    <row r="25" spans="2:11" ht="7.5" customHeight="1">
      <c r="B25" s="124"/>
      <c r="C25" s="685"/>
      <c r="D25" s="690"/>
      <c r="E25" s="690"/>
      <c r="F25" s="690"/>
      <c r="G25" s="690"/>
      <c r="H25" s="690"/>
      <c r="I25" s="690"/>
      <c r="J25" s="690"/>
      <c r="K25" s="691"/>
    </row>
    <row r="26" spans="2:12" ht="15.75" customHeight="1">
      <c r="B26" s="124" t="s">
        <v>330</v>
      </c>
      <c r="C26" s="685" t="s">
        <v>147</v>
      </c>
      <c r="D26" s="686"/>
      <c r="E26" s="686"/>
      <c r="F26" s="686"/>
      <c r="G26" s="686"/>
      <c r="H26" s="686"/>
      <c r="I26" s="686"/>
      <c r="J26" s="686"/>
      <c r="K26" s="686"/>
      <c r="L26" s="90" t="s">
        <v>83</v>
      </c>
    </row>
    <row r="27" spans="2:11" ht="7.5" customHeight="1">
      <c r="B27" s="124"/>
      <c r="C27" s="685"/>
      <c r="D27" s="690"/>
      <c r="E27" s="690"/>
      <c r="F27" s="690"/>
      <c r="G27" s="690"/>
      <c r="H27" s="690"/>
      <c r="I27" s="690"/>
      <c r="J27" s="690"/>
      <c r="K27" s="691"/>
    </row>
    <row r="28" spans="2:11" ht="15.75" customHeight="1">
      <c r="B28" s="124" t="s">
        <v>278</v>
      </c>
      <c r="C28" s="685" t="s">
        <v>137</v>
      </c>
      <c r="D28" s="690"/>
      <c r="E28" s="690"/>
      <c r="F28" s="690"/>
      <c r="G28" s="690"/>
      <c r="H28" s="690"/>
      <c r="I28" s="690"/>
      <c r="J28" s="690"/>
      <c r="K28" s="691"/>
    </row>
    <row r="29" spans="2:13" s="7" customFormat="1" ht="15">
      <c r="B29" s="12"/>
      <c r="C29" s="692"/>
      <c r="D29" s="692"/>
      <c r="E29" s="692"/>
      <c r="F29" s="692"/>
      <c r="G29" s="692"/>
      <c r="H29" s="692"/>
      <c r="I29" s="692"/>
      <c r="J29" s="692"/>
      <c r="K29" s="692"/>
      <c r="L29" s="635"/>
      <c r="M29" s="636"/>
    </row>
    <row r="30" ht="27" customHeight="1"/>
    <row r="31" ht="27.75" customHeight="1"/>
    <row r="32" ht="27.75" customHeight="1"/>
    <row r="33" ht="30.75" customHeight="1"/>
    <row r="34" ht="26.25" customHeight="1"/>
    <row r="35" ht="32.25" customHeight="1"/>
    <row r="36" ht="40.5" customHeight="1"/>
    <row r="37" ht="28.5" customHeight="1"/>
    <row r="38" spans="2:4" ht="12.75">
      <c r="B38" s="3"/>
      <c r="C38" s="3"/>
      <c r="D38" s="3"/>
    </row>
  </sheetData>
  <sheetProtection sheet="1" formatCells="0" formatColumns="0" formatRows="0" insertColumns="0"/>
  <mergeCells count="19">
    <mergeCell ref="C21:K21"/>
    <mergeCell ref="C29:K29"/>
    <mergeCell ref="C28:K28"/>
    <mergeCell ref="C23:K23"/>
    <mergeCell ref="C26:K26"/>
    <mergeCell ref="C25:K25"/>
    <mergeCell ref="C27:K27"/>
    <mergeCell ref="C24:K24"/>
    <mergeCell ref="C22:K22"/>
    <mergeCell ref="B7:M7"/>
    <mergeCell ref="C20:K20"/>
    <mergeCell ref="B8:M8"/>
    <mergeCell ref="B12:M12"/>
    <mergeCell ref="C14:K14"/>
    <mergeCell ref="C15:K15"/>
    <mergeCell ref="C19:K19"/>
    <mergeCell ref="C17:K17"/>
    <mergeCell ref="C16:K16"/>
    <mergeCell ref="C18:K18"/>
  </mergeCells>
  <printOptions horizontalCentered="1"/>
  <pageMargins left="0.5" right="0.5" top="0.75" bottom="0.75" header="0.5" footer="0.5"/>
  <pageSetup horizontalDpi="600" verticalDpi="600" orientation="landscape" paperSize="17" r:id="rId2"/>
  <drawing r:id="rId1"/>
</worksheet>
</file>

<file path=xl/worksheets/sheet10.xml><?xml version="1.0" encoding="utf-8"?>
<worksheet xmlns="http://schemas.openxmlformats.org/spreadsheetml/2006/main" xmlns:r="http://schemas.openxmlformats.org/officeDocument/2006/relationships">
  <dimension ref="B1:R24"/>
  <sheetViews>
    <sheetView showGridLines="0" zoomScaleSheetLayoutView="100" workbookViewId="0" topLeftCell="C1">
      <selection activeCell="A1" sqref="A1"/>
    </sheetView>
  </sheetViews>
  <sheetFormatPr defaultColWidth="9.33203125" defaultRowHeight="12.75"/>
  <cols>
    <col min="1" max="1" width="6.66015625" style="0" hidden="1" customWidth="1"/>
    <col min="2" max="2" width="4" style="33" hidden="1" customWidth="1"/>
    <col min="3" max="3" width="14.16015625" style="33"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17" customFormat="1" ht="15.75">
      <c r="B1" s="36"/>
      <c r="C1" s="37" t="s">
        <v>308</v>
      </c>
      <c r="D1" s="24"/>
      <c r="E1" s="24"/>
      <c r="F1" s="24"/>
      <c r="G1" s="25"/>
      <c r="H1" s="25"/>
      <c r="I1" s="25"/>
      <c r="J1" s="26"/>
      <c r="K1" s="26"/>
      <c r="L1" s="26"/>
      <c r="M1" s="25"/>
      <c r="N1" s="25"/>
      <c r="O1" s="25"/>
      <c r="P1" s="25"/>
    </row>
    <row r="2" spans="4:16" ht="6.75" customHeight="1">
      <c r="D2" s="1"/>
      <c r="E2" s="1"/>
      <c r="F2" s="1"/>
      <c r="G2" s="2"/>
      <c r="H2" s="2"/>
      <c r="I2" s="2"/>
      <c r="M2" s="2"/>
      <c r="N2" s="2"/>
      <c r="O2" s="2"/>
      <c r="P2" s="2"/>
    </row>
    <row r="3" spans="3:18" s="34" customFormat="1" ht="15">
      <c r="C3" s="29" t="s">
        <v>311</v>
      </c>
      <c r="D3" s="30"/>
      <c r="E3" s="30"/>
      <c r="F3" s="29"/>
      <c r="G3" s="29"/>
      <c r="H3" s="32"/>
      <c r="K3" s="31" t="s">
        <v>72</v>
      </c>
      <c r="L3" s="32"/>
      <c r="M3" s="32"/>
      <c r="N3" s="32"/>
      <c r="O3" s="29"/>
      <c r="P3" s="35"/>
      <c r="Q3" s="35"/>
      <c r="R3" s="35"/>
    </row>
    <row r="4" spans="3:16" ht="7.5" customHeight="1">
      <c r="C4" s="44"/>
      <c r="D4" s="8"/>
      <c r="E4" s="8"/>
      <c r="F4" s="8"/>
      <c r="G4" s="5"/>
      <c r="H4" s="5"/>
      <c r="I4" s="5"/>
      <c r="J4" s="6"/>
      <c r="K4" s="6"/>
      <c r="L4" s="6"/>
      <c r="M4" s="5"/>
      <c r="N4" s="5"/>
      <c r="O4" s="5"/>
      <c r="P4" s="5"/>
    </row>
    <row r="5" spans="2:16" s="17" customFormat="1" ht="17.25" customHeight="1">
      <c r="B5" s="36"/>
      <c r="C5" s="856" t="s">
        <v>206</v>
      </c>
      <c r="D5" s="857"/>
      <c r="E5" s="857"/>
      <c r="F5" s="857"/>
      <c r="G5" s="857"/>
      <c r="H5" s="857"/>
      <c r="I5" s="857"/>
      <c r="J5" s="857"/>
      <c r="K5" s="857"/>
      <c r="L5" s="857"/>
      <c r="M5" s="857"/>
      <c r="N5" s="27"/>
      <c r="O5" s="27"/>
      <c r="P5" s="27"/>
    </row>
    <row r="6" ht="9.75" customHeight="1"/>
    <row r="7" spans="3:16" ht="17.25" customHeight="1">
      <c r="C7" s="858" t="s">
        <v>12</v>
      </c>
      <c r="D7" s="859"/>
      <c r="E7" s="859"/>
      <c r="F7" s="859"/>
      <c r="G7" s="859"/>
      <c r="H7" s="859"/>
      <c r="I7" s="859"/>
      <c r="J7" s="859"/>
      <c r="K7" s="859"/>
      <c r="L7" s="859"/>
      <c r="M7" s="859"/>
      <c r="N7" s="859"/>
      <c r="O7" s="859"/>
      <c r="P7" s="860"/>
    </row>
    <row r="8" spans="3:16" ht="25.5" customHeight="1">
      <c r="C8" s="864"/>
      <c r="D8" s="865"/>
      <c r="E8" s="865"/>
      <c r="F8" s="865"/>
      <c r="G8" s="865"/>
      <c r="H8" s="865"/>
      <c r="I8" s="865"/>
      <c r="J8" s="865"/>
      <c r="K8" s="865"/>
      <c r="L8" s="865"/>
      <c r="M8" s="865"/>
      <c r="N8" s="865"/>
      <c r="O8" s="865"/>
      <c r="P8" s="866"/>
    </row>
    <row r="9" spans="3:16" ht="39" customHeight="1">
      <c r="C9" s="861" t="s">
        <v>266</v>
      </c>
      <c r="D9" s="862"/>
      <c r="E9" s="862"/>
      <c r="F9" s="862"/>
      <c r="G9" s="862"/>
      <c r="H9" s="862"/>
      <c r="I9" s="862"/>
      <c r="J9" s="862"/>
      <c r="K9" s="862"/>
      <c r="L9" s="862"/>
      <c r="M9" s="862"/>
      <c r="N9" s="862"/>
      <c r="O9" s="862"/>
      <c r="P9" s="863"/>
    </row>
    <row r="10" spans="3:16" ht="15" customHeight="1">
      <c r="C10" s="867"/>
      <c r="D10" s="868"/>
      <c r="E10" s="868"/>
      <c r="F10" s="868"/>
      <c r="G10" s="868"/>
      <c r="H10" s="868"/>
      <c r="I10" s="868"/>
      <c r="J10" s="868"/>
      <c r="K10" s="868"/>
      <c r="L10" s="868"/>
      <c r="M10" s="868"/>
      <c r="N10" s="868"/>
      <c r="O10" s="868"/>
      <c r="P10" s="869"/>
    </row>
    <row r="11" spans="3:16" ht="15" customHeight="1">
      <c r="C11" s="867"/>
      <c r="D11" s="868"/>
      <c r="E11" s="868"/>
      <c r="F11" s="868"/>
      <c r="G11" s="868"/>
      <c r="H11" s="868"/>
      <c r="I11" s="868"/>
      <c r="J11" s="868"/>
      <c r="K11" s="868"/>
      <c r="L11" s="868"/>
      <c r="M11" s="868"/>
      <c r="N11" s="868"/>
      <c r="O11" s="868"/>
      <c r="P11" s="869"/>
    </row>
    <row r="12" spans="3:16" ht="15" customHeight="1">
      <c r="C12" s="867"/>
      <c r="D12" s="868"/>
      <c r="E12" s="868"/>
      <c r="F12" s="868"/>
      <c r="G12" s="868"/>
      <c r="H12" s="868"/>
      <c r="I12" s="868"/>
      <c r="J12" s="868"/>
      <c r="K12" s="868"/>
      <c r="L12" s="868"/>
      <c r="M12" s="868"/>
      <c r="N12" s="868"/>
      <c r="O12" s="868"/>
      <c r="P12" s="869"/>
    </row>
    <row r="13" spans="3:16" ht="15" customHeight="1">
      <c r="C13" s="867"/>
      <c r="D13" s="870"/>
      <c r="E13" s="870"/>
      <c r="F13" s="870"/>
      <c r="G13" s="870"/>
      <c r="H13" s="870"/>
      <c r="I13" s="870"/>
      <c r="J13" s="870"/>
      <c r="K13" s="870"/>
      <c r="L13" s="870"/>
      <c r="M13" s="870"/>
      <c r="N13" s="870"/>
      <c r="O13" s="870"/>
      <c r="P13" s="871"/>
    </row>
    <row r="14" spans="3:16" ht="15" customHeight="1">
      <c r="C14" s="867"/>
      <c r="D14" s="868"/>
      <c r="E14" s="868"/>
      <c r="F14" s="868"/>
      <c r="G14" s="868"/>
      <c r="H14" s="868"/>
      <c r="I14" s="868"/>
      <c r="J14" s="868"/>
      <c r="K14" s="868"/>
      <c r="L14" s="868"/>
      <c r="M14" s="868"/>
      <c r="N14" s="868"/>
      <c r="O14" s="868"/>
      <c r="P14" s="869"/>
    </row>
    <row r="15" spans="3:16" ht="15" customHeight="1">
      <c r="C15" s="867"/>
      <c r="D15" s="868"/>
      <c r="E15" s="868"/>
      <c r="F15" s="868"/>
      <c r="G15" s="868"/>
      <c r="H15" s="868"/>
      <c r="I15" s="868"/>
      <c r="J15" s="868"/>
      <c r="K15" s="868"/>
      <c r="L15" s="868"/>
      <c r="M15" s="868"/>
      <c r="N15" s="868"/>
      <c r="O15" s="868"/>
      <c r="P15" s="869"/>
    </row>
    <row r="16" spans="3:16" ht="15" customHeight="1">
      <c r="C16" s="867"/>
      <c r="D16" s="868"/>
      <c r="E16" s="868"/>
      <c r="F16" s="868"/>
      <c r="G16" s="868"/>
      <c r="H16" s="868"/>
      <c r="I16" s="868"/>
      <c r="J16" s="868"/>
      <c r="K16" s="868"/>
      <c r="L16" s="868"/>
      <c r="M16" s="868"/>
      <c r="N16" s="868"/>
      <c r="O16" s="868"/>
      <c r="P16" s="869"/>
    </row>
    <row r="17" spans="3:16" ht="15" customHeight="1">
      <c r="C17" s="867"/>
      <c r="D17" s="870"/>
      <c r="E17" s="870"/>
      <c r="F17" s="870"/>
      <c r="G17" s="870"/>
      <c r="H17" s="870"/>
      <c r="I17" s="870"/>
      <c r="J17" s="870"/>
      <c r="K17" s="870"/>
      <c r="L17" s="870"/>
      <c r="M17" s="870"/>
      <c r="N17" s="870"/>
      <c r="O17" s="870"/>
      <c r="P17" s="871"/>
    </row>
    <row r="18" spans="3:16" ht="15" customHeight="1">
      <c r="C18" s="867"/>
      <c r="D18" s="870"/>
      <c r="E18" s="870"/>
      <c r="F18" s="870"/>
      <c r="G18" s="870"/>
      <c r="H18" s="870"/>
      <c r="I18" s="870"/>
      <c r="J18" s="870"/>
      <c r="K18" s="870"/>
      <c r="L18" s="870"/>
      <c r="M18" s="870"/>
      <c r="N18" s="870"/>
      <c r="O18" s="870"/>
      <c r="P18" s="871"/>
    </row>
    <row r="19" spans="3:16" ht="15" customHeight="1">
      <c r="C19" s="858" t="s">
        <v>45</v>
      </c>
      <c r="D19" s="859"/>
      <c r="E19" s="859"/>
      <c r="F19" s="859"/>
      <c r="G19" s="859"/>
      <c r="H19" s="859"/>
      <c r="I19" s="859"/>
      <c r="J19" s="859"/>
      <c r="K19" s="859"/>
      <c r="L19" s="859"/>
      <c r="M19" s="859"/>
      <c r="N19" s="859"/>
      <c r="O19" s="859"/>
      <c r="P19" s="860"/>
    </row>
    <row r="20" spans="3:16" ht="15" customHeight="1">
      <c r="C20" s="867"/>
      <c r="D20" s="872"/>
      <c r="E20" s="872"/>
      <c r="F20" s="872"/>
      <c r="G20" s="872"/>
      <c r="H20" s="872"/>
      <c r="I20" s="872"/>
      <c r="J20" s="872"/>
      <c r="K20" s="872"/>
      <c r="L20" s="872"/>
      <c r="M20" s="872"/>
      <c r="N20" s="872"/>
      <c r="O20" s="872"/>
      <c r="P20" s="873"/>
    </row>
    <row r="21" spans="3:16" ht="15" customHeight="1">
      <c r="C21" s="867"/>
      <c r="D21" s="872"/>
      <c r="E21" s="872"/>
      <c r="F21" s="872"/>
      <c r="G21" s="872"/>
      <c r="H21" s="872"/>
      <c r="I21" s="872"/>
      <c r="J21" s="872"/>
      <c r="K21" s="872"/>
      <c r="L21" s="872"/>
      <c r="M21" s="872"/>
      <c r="N21" s="872"/>
      <c r="O21" s="872"/>
      <c r="P21" s="873"/>
    </row>
    <row r="22" spans="3:16" ht="15" customHeight="1">
      <c r="C22" s="867"/>
      <c r="D22" s="872"/>
      <c r="E22" s="872"/>
      <c r="F22" s="872"/>
      <c r="G22" s="872"/>
      <c r="H22" s="872"/>
      <c r="I22" s="872"/>
      <c r="J22" s="872"/>
      <c r="K22" s="872"/>
      <c r="L22" s="872"/>
      <c r="M22" s="872"/>
      <c r="N22" s="872"/>
      <c r="O22" s="872"/>
      <c r="P22" s="873"/>
    </row>
    <row r="23" spans="3:16" ht="15" customHeight="1">
      <c r="C23" s="867"/>
      <c r="D23" s="872"/>
      <c r="E23" s="872"/>
      <c r="F23" s="872"/>
      <c r="G23" s="872"/>
      <c r="H23" s="872"/>
      <c r="I23" s="872"/>
      <c r="J23" s="872"/>
      <c r="K23" s="872"/>
      <c r="L23" s="872"/>
      <c r="M23" s="872"/>
      <c r="N23" s="872"/>
      <c r="O23" s="872"/>
      <c r="P23" s="873"/>
    </row>
    <row r="24" spans="3:16" ht="15" customHeight="1">
      <c r="C24" s="874"/>
      <c r="D24" s="875"/>
      <c r="E24" s="875"/>
      <c r="F24" s="875"/>
      <c r="G24" s="875"/>
      <c r="H24" s="875"/>
      <c r="I24" s="875"/>
      <c r="J24" s="875"/>
      <c r="K24" s="875"/>
      <c r="L24" s="875"/>
      <c r="M24" s="875"/>
      <c r="N24" s="875"/>
      <c r="O24" s="875"/>
      <c r="P24" s="876"/>
    </row>
  </sheetData>
  <sheetProtection sheet="1" formatCells="0" formatColumns="0" formatRows="0" insertColumns="0"/>
  <mergeCells count="19">
    <mergeCell ref="C14:P14"/>
    <mergeCell ref="C15:P15"/>
    <mergeCell ref="C18:P18"/>
    <mergeCell ref="C23:P23"/>
    <mergeCell ref="C24:P24"/>
    <mergeCell ref="C19:P19"/>
    <mergeCell ref="C20:P20"/>
    <mergeCell ref="C21:P21"/>
    <mergeCell ref="C22:P22"/>
    <mergeCell ref="C5:M5"/>
    <mergeCell ref="C7:P7"/>
    <mergeCell ref="C9:P9"/>
    <mergeCell ref="C8:P8"/>
    <mergeCell ref="C16:P16"/>
    <mergeCell ref="C17:P17"/>
    <mergeCell ref="C10:P10"/>
    <mergeCell ref="C11:P11"/>
    <mergeCell ref="C12:P12"/>
    <mergeCell ref="C13:P13"/>
  </mergeCells>
  <printOptions horizontalCentered="1"/>
  <pageMargins left="0.56" right="0.4" top="0.65" bottom="1" header="0.43" footer="0.5"/>
  <pageSetup horizontalDpi="600" verticalDpi="600" orientation="landscape" paperSize="9" scale="70" r:id="rId1"/>
  <headerFooter alignWithMargins="0">
    <oddFooter>&amp;C&amp;"Arial,Regular"&amp;8UNSD/United Nations Environment Programme Questionnaire 2018 on Environment Statistics - Water Section - p.&amp;P</oddFooter>
  </headerFooter>
</worksheet>
</file>

<file path=xl/worksheets/sheet2.xml><?xml version="1.0" encoding="utf-8"?>
<worksheet xmlns="http://schemas.openxmlformats.org/spreadsheetml/2006/main" xmlns:r="http://schemas.openxmlformats.org/officeDocument/2006/relationships">
  <dimension ref="A1:L71"/>
  <sheetViews>
    <sheetView showGridLines="0" zoomScaleSheetLayoutView="85" workbookViewId="0" topLeftCell="A1">
      <selection activeCell="A1" sqref="A1"/>
    </sheetView>
  </sheetViews>
  <sheetFormatPr defaultColWidth="9.33203125" defaultRowHeight="12.75"/>
  <cols>
    <col min="1" max="1" width="3.33203125" style="0" customWidth="1"/>
    <col min="2" max="2" width="12.83203125" style="0" customWidth="1"/>
    <col min="3" max="3" width="20" style="0" customWidth="1"/>
    <col min="4" max="6" width="15.83203125" style="0" customWidth="1"/>
    <col min="7" max="7" width="11.5" style="0" customWidth="1"/>
    <col min="10" max="10" width="16.83203125" style="0" customWidth="1"/>
    <col min="11" max="11" width="27.33203125" style="0" customWidth="1"/>
  </cols>
  <sheetData>
    <row r="1" spans="1:2" ht="15.75">
      <c r="A1" s="33"/>
      <c r="B1" s="28" t="s">
        <v>308</v>
      </c>
    </row>
    <row r="2" ht="9.75" customHeight="1"/>
    <row r="3" spans="2:11" s="17" customFormat="1" ht="16.5" customHeight="1">
      <c r="B3" s="713" t="s">
        <v>325</v>
      </c>
      <c r="C3" s="713"/>
      <c r="D3" s="713"/>
      <c r="E3" s="713"/>
      <c r="F3" s="713"/>
      <c r="G3" s="713"/>
      <c r="H3" s="713"/>
      <c r="I3" s="713"/>
      <c r="J3" s="713"/>
      <c r="K3" s="713"/>
    </row>
    <row r="4" ht="9.75" customHeight="1">
      <c r="C4" s="13"/>
    </row>
    <row r="5" spans="2:11" s="17" customFormat="1" ht="15.75">
      <c r="B5" s="694" t="s">
        <v>326</v>
      </c>
      <c r="C5" s="694"/>
      <c r="D5" s="694"/>
      <c r="E5" s="694"/>
      <c r="F5" s="694"/>
      <c r="G5" s="694"/>
      <c r="H5" s="694"/>
      <c r="I5" s="694"/>
      <c r="J5" s="694"/>
      <c r="K5" s="694"/>
    </row>
    <row r="6" spans="2:10" ht="7.5" customHeight="1">
      <c r="B6" s="14"/>
      <c r="C6" s="15"/>
      <c r="D6" s="9"/>
      <c r="F6" s="9"/>
      <c r="G6" s="6"/>
      <c r="H6" s="6"/>
      <c r="I6" s="6"/>
      <c r="J6" s="6"/>
    </row>
    <row r="7" spans="2:11" s="10" customFormat="1" ht="40.5" customHeight="1">
      <c r="B7" s="698" t="s">
        <v>628</v>
      </c>
      <c r="C7" s="698"/>
      <c r="D7" s="698"/>
      <c r="E7" s="698"/>
      <c r="F7" s="698"/>
      <c r="G7" s="698"/>
      <c r="H7" s="698"/>
      <c r="I7" s="698"/>
      <c r="J7" s="698"/>
      <c r="K7" s="698"/>
    </row>
    <row r="8" spans="2:11" s="10" customFormat="1" ht="7.5" customHeight="1">
      <c r="B8" s="40"/>
      <c r="C8" s="40"/>
      <c r="D8" s="40"/>
      <c r="E8" s="40"/>
      <c r="F8" s="40"/>
      <c r="G8" s="40"/>
      <c r="H8" s="40"/>
      <c r="I8" s="40"/>
      <c r="J8" s="40"/>
      <c r="K8" s="40"/>
    </row>
    <row r="9" spans="2:11" s="10" customFormat="1" ht="27" customHeight="1">
      <c r="B9" s="698" t="s">
        <v>181</v>
      </c>
      <c r="C9" s="699"/>
      <c r="D9" s="699"/>
      <c r="E9" s="699"/>
      <c r="F9" s="699"/>
      <c r="G9" s="699"/>
      <c r="H9" s="699"/>
      <c r="I9" s="699"/>
      <c r="J9" s="699"/>
      <c r="K9" s="699"/>
    </row>
    <row r="10" spans="2:11" s="10" customFormat="1" ht="4.5" customHeight="1">
      <c r="B10" s="125"/>
      <c r="C10" s="125"/>
      <c r="D10" s="125"/>
      <c r="E10" s="125"/>
      <c r="F10" s="125"/>
      <c r="G10" s="125"/>
      <c r="H10" s="125"/>
      <c r="I10" s="125"/>
      <c r="J10" s="125"/>
      <c r="K10" s="125"/>
    </row>
    <row r="11" spans="2:11" s="2" customFormat="1" ht="26.25" customHeight="1">
      <c r="B11" s="700" t="s">
        <v>629</v>
      </c>
      <c r="C11" s="700"/>
      <c r="D11" s="700"/>
      <c r="E11" s="700"/>
      <c r="F11" s="700"/>
      <c r="G11" s="700"/>
      <c r="H11" s="700"/>
      <c r="I11" s="700"/>
      <c r="J11" s="700"/>
      <c r="K11" s="700"/>
    </row>
    <row r="12" spans="2:11" s="10" customFormat="1" ht="4.5" customHeight="1">
      <c r="B12" s="40"/>
      <c r="C12" s="40"/>
      <c r="D12" s="40"/>
      <c r="E12" s="40"/>
      <c r="F12" s="40"/>
      <c r="G12" s="40"/>
      <c r="H12" s="40"/>
      <c r="I12" s="40"/>
      <c r="J12" s="40"/>
      <c r="K12" s="40"/>
    </row>
    <row r="13" spans="2:11" s="10" customFormat="1" ht="18.75" customHeight="1">
      <c r="B13" s="696" t="s">
        <v>180</v>
      </c>
      <c r="C13" s="696"/>
      <c r="D13" s="696"/>
      <c r="E13" s="696"/>
      <c r="F13" s="696"/>
      <c r="G13" s="696"/>
      <c r="H13" s="696"/>
      <c r="I13" s="696"/>
      <c r="J13" s="696"/>
      <c r="K13" s="696"/>
    </row>
    <row r="14" spans="2:11" s="10" customFormat="1" ht="4.5" customHeight="1">
      <c r="B14" s="40"/>
      <c r="C14" s="40"/>
      <c r="D14" s="40"/>
      <c r="E14" s="40"/>
      <c r="F14" s="40"/>
      <c r="G14" s="40"/>
      <c r="H14" s="40"/>
      <c r="I14" s="40"/>
      <c r="J14" s="40"/>
      <c r="K14" s="40"/>
    </row>
    <row r="15" spans="2:11" s="51" customFormat="1" ht="26.25" customHeight="1">
      <c r="B15" s="697" t="s">
        <v>620</v>
      </c>
      <c r="C15" s="697"/>
      <c r="D15" s="697"/>
      <c r="E15" s="697"/>
      <c r="F15" s="697"/>
      <c r="G15" s="697"/>
      <c r="H15" s="697"/>
      <c r="I15" s="697"/>
      <c r="J15" s="697"/>
      <c r="K15" s="697"/>
    </row>
    <row r="16" spans="2:11" s="10" customFormat="1" ht="4.5" customHeight="1">
      <c r="B16" s="40"/>
      <c r="C16" s="40"/>
      <c r="D16" s="40"/>
      <c r="E16" s="40"/>
      <c r="F16" s="40"/>
      <c r="G16" s="40"/>
      <c r="H16" s="40"/>
      <c r="I16" s="40"/>
      <c r="J16" s="40"/>
      <c r="K16" s="40"/>
    </row>
    <row r="17" spans="2:11" s="10" customFormat="1" ht="29.25" customHeight="1">
      <c r="B17" s="698" t="s">
        <v>44</v>
      </c>
      <c r="C17" s="698"/>
      <c r="D17" s="698"/>
      <c r="E17" s="698"/>
      <c r="F17" s="698"/>
      <c r="G17" s="698"/>
      <c r="H17" s="698"/>
      <c r="I17" s="698"/>
      <c r="J17" s="698"/>
      <c r="K17" s="698"/>
    </row>
    <row r="18" spans="2:11" s="10" customFormat="1" ht="4.5" customHeight="1">
      <c r="B18" s="125"/>
      <c r="C18" s="125"/>
      <c r="D18" s="125"/>
      <c r="E18" s="125"/>
      <c r="F18" s="125"/>
      <c r="G18" s="125"/>
      <c r="H18" s="125"/>
      <c r="I18" s="125"/>
      <c r="J18" s="125"/>
      <c r="K18" s="125"/>
    </row>
    <row r="19" spans="2:11" s="10" customFormat="1" ht="26.25" customHeight="1">
      <c r="B19" s="698" t="s">
        <v>196</v>
      </c>
      <c r="C19" s="698"/>
      <c r="D19" s="698"/>
      <c r="E19" s="698"/>
      <c r="F19" s="698"/>
      <c r="G19" s="698"/>
      <c r="H19" s="698"/>
      <c r="I19" s="698"/>
      <c r="J19" s="698"/>
      <c r="K19" s="698"/>
    </row>
    <row r="20" spans="2:11" s="10" customFormat="1" ht="4.5" customHeight="1">
      <c r="B20" s="118"/>
      <c r="C20" s="118"/>
      <c r="D20" s="118"/>
      <c r="E20" s="118"/>
      <c r="F20" s="118"/>
      <c r="G20" s="118"/>
      <c r="H20" s="118"/>
      <c r="I20" s="118"/>
      <c r="J20" s="118"/>
      <c r="K20" s="118"/>
    </row>
    <row r="21" spans="2:11" s="10" customFormat="1" ht="26.25" customHeight="1">
      <c r="B21" s="698" t="s">
        <v>533</v>
      </c>
      <c r="C21" s="698"/>
      <c r="D21" s="698"/>
      <c r="E21" s="698"/>
      <c r="F21" s="698"/>
      <c r="G21" s="698"/>
      <c r="H21" s="698"/>
      <c r="I21" s="698"/>
      <c r="J21" s="698"/>
      <c r="K21" s="698"/>
    </row>
    <row r="22" spans="2:11" s="10" customFormat="1" ht="26.25" customHeight="1">
      <c r="B22" s="693" t="s">
        <v>76</v>
      </c>
      <c r="C22" s="693"/>
      <c r="D22" s="693"/>
      <c r="E22" s="693"/>
      <c r="F22" s="693"/>
      <c r="G22" s="693"/>
      <c r="H22" s="693"/>
      <c r="I22" s="693"/>
      <c r="J22" s="693"/>
      <c r="K22" s="693"/>
    </row>
    <row r="23" spans="2:11" s="10" customFormat="1" ht="6.75" customHeight="1">
      <c r="B23" s="127"/>
      <c r="C23" s="40"/>
      <c r="D23" s="40"/>
      <c r="E23" s="40"/>
      <c r="F23" s="40"/>
      <c r="G23" s="40"/>
      <c r="H23" s="40"/>
      <c r="I23" s="40"/>
      <c r="J23" s="40"/>
      <c r="K23" s="40"/>
    </row>
    <row r="24" spans="2:11" s="10" customFormat="1" ht="38.25" customHeight="1">
      <c r="B24" s="698" t="s">
        <v>619</v>
      </c>
      <c r="C24" s="698"/>
      <c r="D24" s="698"/>
      <c r="E24" s="715"/>
      <c r="F24" s="715"/>
      <c r="G24" s="715"/>
      <c r="H24" s="715"/>
      <c r="I24" s="715"/>
      <c r="J24" s="715"/>
      <c r="K24" s="715"/>
    </row>
    <row r="25" spans="2:11" s="10" customFormat="1" ht="18" customHeight="1">
      <c r="B25" s="717" t="s">
        <v>572</v>
      </c>
      <c r="C25" s="718"/>
      <c r="D25" s="718"/>
      <c r="E25" s="718"/>
      <c r="F25" s="718"/>
      <c r="G25" s="718"/>
      <c r="H25" s="718"/>
      <c r="I25" s="718"/>
      <c r="J25" s="718"/>
      <c r="K25" s="718"/>
    </row>
    <row r="26" spans="2:11" s="10" customFormat="1" ht="45" customHeight="1">
      <c r="B26" s="698" t="s">
        <v>618</v>
      </c>
      <c r="C26" s="716"/>
      <c r="D26" s="716"/>
      <c r="E26" s="716"/>
      <c r="F26" s="716"/>
      <c r="G26" s="716"/>
      <c r="H26" s="716"/>
      <c r="I26" s="716"/>
      <c r="J26" s="716"/>
      <c r="K26" s="716"/>
    </row>
    <row r="27" spans="2:11" ht="10.5" customHeight="1">
      <c r="B27" s="118"/>
      <c r="C27" s="118"/>
      <c r="D27" s="118"/>
      <c r="E27" s="118"/>
      <c r="F27" s="118"/>
      <c r="G27" s="118"/>
      <c r="H27" s="118"/>
      <c r="I27" s="118"/>
      <c r="J27" s="118"/>
      <c r="K27" s="118"/>
    </row>
    <row r="28" spans="2:11" s="10" customFormat="1" ht="8.25" customHeight="1">
      <c r="B28" s="698"/>
      <c r="C28" s="714"/>
      <c r="D28" s="714"/>
      <c r="E28" s="714"/>
      <c r="F28" s="714"/>
      <c r="G28" s="714"/>
      <c r="H28" s="714"/>
      <c r="I28" s="714"/>
      <c r="J28" s="714"/>
      <c r="K28" s="714"/>
    </row>
    <row r="29" spans="2:11" ht="0.75" customHeight="1">
      <c r="B29" s="175"/>
      <c r="C29" s="176"/>
      <c r="D29" s="176"/>
      <c r="E29" s="176"/>
      <c r="F29" s="176"/>
      <c r="G29" s="176"/>
      <c r="H29" s="176"/>
      <c r="I29" s="176"/>
      <c r="J29" s="176"/>
      <c r="K29" s="177"/>
    </row>
    <row r="30" spans="2:11" s="17" customFormat="1" ht="15.75">
      <c r="B30" s="694" t="s">
        <v>327</v>
      </c>
      <c r="C30" s="695"/>
      <c r="D30" s="695"/>
      <c r="E30" s="695"/>
      <c r="F30" s="695"/>
      <c r="G30" s="695"/>
      <c r="H30" s="695"/>
      <c r="I30" s="695"/>
      <c r="J30" s="695"/>
      <c r="K30" s="695"/>
    </row>
    <row r="31" spans="2:11" ht="7.5" customHeight="1">
      <c r="B31" s="91"/>
      <c r="C31" s="38"/>
      <c r="D31" s="91"/>
      <c r="E31" s="38"/>
      <c r="F31" s="91"/>
      <c r="G31" s="38"/>
      <c r="H31" s="91"/>
      <c r="I31" s="38"/>
      <c r="J31" s="91"/>
      <c r="K31" s="38"/>
    </row>
    <row r="32" spans="2:11" ht="7.5" customHeight="1">
      <c r="B32" s="720"/>
      <c r="C32" s="720"/>
      <c r="D32" s="720"/>
      <c r="E32" s="720"/>
      <c r="F32" s="720"/>
      <c r="G32" s="720"/>
      <c r="H32" s="720"/>
      <c r="I32" s="720"/>
      <c r="J32" s="720"/>
      <c r="K32" s="720"/>
    </row>
    <row r="33" spans="2:11" s="51" customFormat="1" ht="15.75" customHeight="1">
      <c r="B33" s="129" t="s">
        <v>328</v>
      </c>
      <c r="C33" s="700" t="s">
        <v>185</v>
      </c>
      <c r="D33" s="700"/>
      <c r="E33" s="700"/>
      <c r="F33" s="700"/>
      <c r="G33" s="700"/>
      <c r="H33" s="700"/>
      <c r="I33" s="700"/>
      <c r="J33" s="700"/>
      <c r="K33" s="700"/>
    </row>
    <row r="34" spans="2:11" s="51" customFormat="1" ht="26.25" customHeight="1">
      <c r="B34" s="129" t="s">
        <v>328</v>
      </c>
      <c r="C34" s="719" t="s">
        <v>630</v>
      </c>
      <c r="D34" s="719"/>
      <c r="E34" s="719"/>
      <c r="F34" s="719"/>
      <c r="G34" s="719"/>
      <c r="H34" s="719"/>
      <c r="I34" s="719"/>
      <c r="J34" s="719"/>
      <c r="K34" s="719"/>
    </row>
    <row r="35" spans="2:11" s="41" customFormat="1" ht="51" customHeight="1">
      <c r="B35" s="129" t="s">
        <v>328</v>
      </c>
      <c r="C35" s="719" t="s">
        <v>105</v>
      </c>
      <c r="D35" s="719"/>
      <c r="E35" s="719"/>
      <c r="F35" s="719"/>
      <c r="G35" s="719"/>
      <c r="H35" s="719"/>
      <c r="I35" s="719"/>
      <c r="J35" s="719"/>
      <c r="K35" s="719"/>
    </row>
    <row r="36" spans="2:11" s="51" customFormat="1" ht="26.25" customHeight="1">
      <c r="B36" s="130" t="s">
        <v>328</v>
      </c>
      <c r="C36" s="721" t="s">
        <v>138</v>
      </c>
      <c r="D36" s="721"/>
      <c r="E36" s="721"/>
      <c r="F36" s="721"/>
      <c r="G36" s="721"/>
      <c r="H36" s="721"/>
      <c r="I36" s="721"/>
      <c r="J36" s="721"/>
      <c r="K36" s="721"/>
    </row>
    <row r="37" spans="2:11" s="51" customFormat="1" ht="27.75" customHeight="1">
      <c r="B37" s="130" t="s">
        <v>328</v>
      </c>
      <c r="C37" s="702" t="s">
        <v>186</v>
      </c>
      <c r="D37" s="702"/>
      <c r="E37" s="702"/>
      <c r="F37" s="702"/>
      <c r="G37" s="702"/>
      <c r="H37" s="702"/>
      <c r="I37" s="702"/>
      <c r="J37" s="702"/>
      <c r="K37" s="702"/>
    </row>
    <row r="38" spans="2:11" s="10" customFormat="1" ht="15.75" customHeight="1">
      <c r="B38" s="130" t="s">
        <v>328</v>
      </c>
      <c r="C38" s="696" t="s">
        <v>187</v>
      </c>
      <c r="D38" s="696"/>
      <c r="E38" s="696"/>
      <c r="F38" s="696"/>
      <c r="G38" s="696"/>
      <c r="H38" s="696"/>
      <c r="I38" s="696"/>
      <c r="J38" s="696"/>
      <c r="K38" s="696"/>
    </row>
    <row r="39" spans="2:11" s="51" customFormat="1" ht="15.75" customHeight="1">
      <c r="B39" s="130" t="s">
        <v>328</v>
      </c>
      <c r="C39" s="712" t="s">
        <v>188</v>
      </c>
      <c r="D39" s="712"/>
      <c r="E39" s="712"/>
      <c r="F39" s="712"/>
      <c r="G39" s="712"/>
      <c r="H39" s="712"/>
      <c r="I39" s="712"/>
      <c r="J39" s="712"/>
      <c r="K39" s="712"/>
    </row>
    <row r="40" spans="2:11" s="51" customFormat="1" ht="14.25" customHeight="1">
      <c r="B40" s="130" t="s">
        <v>328</v>
      </c>
      <c r="C40" s="712" t="s">
        <v>38</v>
      </c>
      <c r="D40" s="712"/>
      <c r="E40" s="712"/>
      <c r="F40" s="712"/>
      <c r="G40" s="712"/>
      <c r="H40" s="712"/>
      <c r="I40" s="712"/>
      <c r="J40" s="712"/>
      <c r="K40" s="712"/>
    </row>
    <row r="41" spans="2:11" s="10" customFormat="1" ht="10.5" customHeight="1">
      <c r="B41" s="130"/>
      <c r="C41" s="696"/>
      <c r="D41" s="696"/>
      <c r="E41" s="696"/>
      <c r="F41" s="696"/>
      <c r="G41" s="696"/>
      <c r="H41" s="696"/>
      <c r="I41" s="696"/>
      <c r="J41" s="696"/>
      <c r="K41" s="696"/>
    </row>
    <row r="42" spans="2:11" s="56" customFormat="1" ht="15.75" customHeight="1">
      <c r="B42" s="132" t="s">
        <v>324</v>
      </c>
      <c r="C42" s="132"/>
      <c r="D42" s="132"/>
      <c r="E42" s="133"/>
      <c r="F42" s="133"/>
      <c r="G42" s="134"/>
      <c r="H42" s="134"/>
      <c r="I42" s="134"/>
      <c r="J42" s="134"/>
      <c r="K42" s="134"/>
    </row>
    <row r="43" spans="2:11" s="42" customFormat="1" ht="2.25" customHeight="1">
      <c r="B43" s="126"/>
      <c r="C43" s="131"/>
      <c r="D43" s="131"/>
      <c r="E43" s="131"/>
      <c r="F43" s="131"/>
      <c r="G43" s="131"/>
      <c r="H43" s="131"/>
      <c r="I43" s="131"/>
      <c r="J43" s="131"/>
      <c r="K43" s="131"/>
    </row>
    <row r="44" spans="2:11" s="42" customFormat="1" ht="13.5" customHeight="1">
      <c r="B44" s="135" t="s">
        <v>6</v>
      </c>
      <c r="C44" s="136" t="s">
        <v>145</v>
      </c>
      <c r="D44" s="137"/>
      <c r="E44" s="137"/>
      <c r="F44" s="137"/>
      <c r="G44" s="137"/>
      <c r="H44" s="137"/>
      <c r="I44" s="137"/>
      <c r="J44" s="137"/>
      <c r="K44" s="137"/>
    </row>
    <row r="45" spans="2:11" s="42" customFormat="1" ht="12.75">
      <c r="B45" s="135" t="s">
        <v>6</v>
      </c>
      <c r="C45" s="136" t="s">
        <v>7</v>
      </c>
      <c r="D45" s="136"/>
      <c r="E45" s="136"/>
      <c r="F45" s="136"/>
      <c r="G45" s="136"/>
      <c r="H45" s="136"/>
      <c r="I45" s="136"/>
      <c r="J45" s="136"/>
      <c r="K45" s="136"/>
    </row>
    <row r="46" spans="2:11" s="42" customFormat="1" ht="14.25" customHeight="1">
      <c r="B46" s="135" t="s">
        <v>6</v>
      </c>
      <c r="C46" s="136" t="s">
        <v>8</v>
      </c>
      <c r="D46" s="131"/>
      <c r="E46" s="131"/>
      <c r="F46" s="131"/>
      <c r="G46" s="131"/>
      <c r="H46" s="131"/>
      <c r="I46" s="131"/>
      <c r="J46" s="131"/>
      <c r="K46" s="131"/>
    </row>
    <row r="47" spans="2:11" s="42" customFormat="1" ht="30" customHeight="1">
      <c r="B47" s="135" t="s">
        <v>6</v>
      </c>
      <c r="C47" s="711" t="s">
        <v>521</v>
      </c>
      <c r="D47" s="711"/>
      <c r="E47" s="711"/>
      <c r="F47" s="711"/>
      <c r="G47" s="711"/>
      <c r="H47" s="711"/>
      <c r="I47" s="711"/>
      <c r="J47" s="711"/>
      <c r="K47" s="711"/>
    </row>
    <row r="48" spans="2:11" s="38" customFormat="1" ht="9.75" customHeight="1">
      <c r="B48" s="138"/>
      <c r="C48" s="139"/>
      <c r="D48" s="140"/>
      <c r="E48" s="140"/>
      <c r="F48" s="140"/>
      <c r="G48" s="140"/>
      <c r="H48" s="140"/>
      <c r="I48" s="140"/>
      <c r="J48" s="140"/>
      <c r="K48" s="140"/>
    </row>
    <row r="49" spans="2:11" s="17" customFormat="1" ht="15.75" customHeight="1">
      <c r="B49" s="709" t="s">
        <v>503</v>
      </c>
      <c r="C49" s="710"/>
      <c r="D49" s="710"/>
      <c r="E49" s="710"/>
      <c r="F49" s="710"/>
      <c r="G49" s="710"/>
      <c r="H49" s="710"/>
      <c r="I49" s="710"/>
      <c r="J49" s="710"/>
      <c r="K49" s="710"/>
    </row>
    <row r="50" spans="2:11" ht="7.5" customHeight="1">
      <c r="B50" s="11"/>
      <c r="C50" s="11"/>
      <c r="D50" s="144"/>
      <c r="E50" s="144"/>
      <c r="F50" s="11"/>
      <c r="G50" s="144"/>
      <c r="H50" s="144"/>
      <c r="I50" s="144"/>
      <c r="J50" s="144"/>
      <c r="K50" s="128"/>
    </row>
    <row r="51" spans="2:12" ht="24" customHeight="1">
      <c r="B51" s="703" t="s">
        <v>184</v>
      </c>
      <c r="C51" s="704"/>
      <c r="D51" s="704"/>
      <c r="E51" s="704"/>
      <c r="F51" s="704"/>
      <c r="G51" s="704"/>
      <c r="H51" s="704"/>
      <c r="I51" s="704"/>
      <c r="J51" s="704"/>
      <c r="K51" s="705"/>
      <c r="L51" s="22"/>
    </row>
    <row r="52" spans="2:11" ht="77.25" customHeight="1">
      <c r="B52" s="706" t="s">
        <v>259</v>
      </c>
      <c r="C52" s="707"/>
      <c r="D52" s="707"/>
      <c r="E52" s="707"/>
      <c r="F52" s="707"/>
      <c r="G52" s="707"/>
      <c r="H52" s="707"/>
      <c r="I52" s="707"/>
      <c r="J52" s="707"/>
      <c r="K52" s="708"/>
    </row>
    <row r="53" spans="2:11" ht="24" customHeight="1">
      <c r="B53" s="703" t="s">
        <v>89</v>
      </c>
      <c r="C53" s="704"/>
      <c r="D53" s="704"/>
      <c r="E53" s="704"/>
      <c r="F53" s="704"/>
      <c r="G53" s="704"/>
      <c r="H53" s="704"/>
      <c r="I53" s="704"/>
      <c r="J53" s="704"/>
      <c r="K53" s="705"/>
    </row>
    <row r="54" spans="2:11" ht="79.5" customHeight="1">
      <c r="B54" s="706" t="s">
        <v>222</v>
      </c>
      <c r="C54" s="707"/>
      <c r="D54" s="707"/>
      <c r="E54" s="707"/>
      <c r="F54" s="707"/>
      <c r="G54" s="707"/>
      <c r="H54" s="707"/>
      <c r="I54" s="707"/>
      <c r="J54" s="707"/>
      <c r="K54" s="708"/>
    </row>
    <row r="55" spans="2:11" ht="24" customHeight="1">
      <c r="B55" s="703" t="s">
        <v>205</v>
      </c>
      <c r="C55" s="704"/>
      <c r="D55" s="704"/>
      <c r="E55" s="704"/>
      <c r="F55" s="704"/>
      <c r="G55" s="704"/>
      <c r="H55" s="704"/>
      <c r="I55" s="704"/>
      <c r="J55" s="704"/>
      <c r="K55" s="705"/>
    </row>
    <row r="56" spans="2:11" ht="52.5" customHeight="1">
      <c r="B56" s="706" t="s">
        <v>107</v>
      </c>
      <c r="C56" s="707"/>
      <c r="D56" s="707"/>
      <c r="E56" s="707"/>
      <c r="F56" s="707"/>
      <c r="G56" s="707"/>
      <c r="H56" s="707"/>
      <c r="I56" s="707"/>
      <c r="J56" s="707"/>
      <c r="K56" s="708"/>
    </row>
    <row r="57" spans="2:11" ht="24" customHeight="1">
      <c r="B57" s="703" t="s">
        <v>128</v>
      </c>
      <c r="C57" s="704"/>
      <c r="D57" s="704"/>
      <c r="E57" s="704"/>
      <c r="F57" s="704"/>
      <c r="G57" s="704"/>
      <c r="H57" s="704"/>
      <c r="I57" s="704"/>
      <c r="J57" s="704"/>
      <c r="K57" s="705"/>
    </row>
    <row r="58" spans="2:11" ht="51.75" customHeight="1">
      <c r="B58" s="706" t="s">
        <v>214</v>
      </c>
      <c r="C58" s="707"/>
      <c r="D58" s="707"/>
      <c r="E58" s="707"/>
      <c r="F58" s="707"/>
      <c r="G58" s="707"/>
      <c r="H58" s="707"/>
      <c r="I58" s="707"/>
      <c r="J58" s="707"/>
      <c r="K58" s="708"/>
    </row>
    <row r="59" spans="2:11" ht="24" customHeight="1">
      <c r="B59" s="703" t="s">
        <v>129</v>
      </c>
      <c r="C59" s="704"/>
      <c r="D59" s="704"/>
      <c r="E59" s="704"/>
      <c r="F59" s="704"/>
      <c r="G59" s="704"/>
      <c r="H59" s="704"/>
      <c r="I59" s="704"/>
      <c r="J59" s="704"/>
      <c r="K59" s="705"/>
    </row>
    <row r="60" spans="2:11" ht="27" customHeight="1">
      <c r="B60" s="706" t="s">
        <v>11</v>
      </c>
      <c r="C60" s="707"/>
      <c r="D60" s="707"/>
      <c r="E60" s="707"/>
      <c r="F60" s="707"/>
      <c r="G60" s="707"/>
      <c r="H60" s="707"/>
      <c r="I60" s="707"/>
      <c r="J60" s="707"/>
      <c r="K60" s="708"/>
    </row>
    <row r="61" spans="2:11" s="17" customFormat="1" ht="24" customHeight="1">
      <c r="B61" s="703" t="s">
        <v>206</v>
      </c>
      <c r="C61" s="704"/>
      <c r="D61" s="704"/>
      <c r="E61" s="704"/>
      <c r="F61" s="704"/>
      <c r="G61" s="704"/>
      <c r="H61" s="704"/>
      <c r="I61" s="704"/>
      <c r="J61" s="704"/>
      <c r="K61" s="705"/>
    </row>
    <row r="62" spans="2:11" ht="52.5" customHeight="1">
      <c r="B62" s="706" t="s">
        <v>108</v>
      </c>
      <c r="C62" s="707"/>
      <c r="D62" s="707"/>
      <c r="E62" s="707"/>
      <c r="F62" s="707"/>
      <c r="G62" s="707"/>
      <c r="H62" s="707"/>
      <c r="I62" s="707"/>
      <c r="J62" s="707"/>
      <c r="K62" s="708"/>
    </row>
    <row r="63" spans="2:11" ht="24" customHeight="1">
      <c r="B63" s="131"/>
      <c r="C63" s="131"/>
      <c r="D63" s="131"/>
      <c r="E63" s="131"/>
      <c r="F63" s="131"/>
      <c r="G63" s="131"/>
      <c r="H63" s="131"/>
      <c r="I63" s="131"/>
      <c r="J63" s="131"/>
      <c r="K63" s="131"/>
    </row>
    <row r="64" spans="2:11" ht="15.75" customHeight="1">
      <c r="B64" s="701" t="s">
        <v>283</v>
      </c>
      <c r="C64" s="701"/>
      <c r="D64" s="701"/>
      <c r="E64" s="701"/>
      <c r="F64" s="701"/>
      <c r="G64" s="701"/>
      <c r="H64" s="701"/>
      <c r="I64" s="701"/>
      <c r="J64" s="701"/>
      <c r="K64" s="701"/>
    </row>
    <row r="65" spans="2:11" ht="24" customHeight="1">
      <c r="B65" s="10"/>
      <c r="C65" s="10"/>
      <c r="D65" s="10"/>
      <c r="E65" s="10"/>
      <c r="F65" s="10"/>
      <c r="G65" s="10"/>
      <c r="H65" s="10"/>
      <c r="I65" s="10"/>
      <c r="J65" s="10"/>
      <c r="K65" s="10"/>
    </row>
    <row r="66" spans="2:11" ht="24" customHeight="1">
      <c r="B66" s="10"/>
      <c r="C66" s="681" t="s">
        <v>285</v>
      </c>
      <c r="D66" s="682" t="s">
        <v>297</v>
      </c>
      <c r="E66" s="682" t="s">
        <v>298</v>
      </c>
      <c r="F66" s="10"/>
      <c r="G66" s="10"/>
      <c r="H66" s="10"/>
      <c r="I66" s="10"/>
      <c r="J66" s="10"/>
      <c r="K66" s="10"/>
    </row>
    <row r="67" spans="3:5" s="10" customFormat="1" ht="21" customHeight="1">
      <c r="C67" s="141" t="s">
        <v>279</v>
      </c>
      <c r="D67" s="142" t="s">
        <v>281</v>
      </c>
      <c r="E67" s="142">
        <v>4.54609</v>
      </c>
    </row>
    <row r="68" spans="2:11" ht="12.75">
      <c r="B68" s="10"/>
      <c r="C68" s="141" t="s">
        <v>280</v>
      </c>
      <c r="D68" s="142" t="s">
        <v>281</v>
      </c>
      <c r="E68" s="142">
        <v>3.785411784</v>
      </c>
      <c r="F68" s="10"/>
      <c r="G68" s="10"/>
      <c r="H68" s="10"/>
      <c r="I68" s="10"/>
      <c r="J68" s="10"/>
      <c r="K68" s="10"/>
    </row>
    <row r="69" spans="2:11" ht="14.25">
      <c r="B69" s="10"/>
      <c r="C69" s="141" t="s">
        <v>284</v>
      </c>
      <c r="D69" s="142" t="s">
        <v>281</v>
      </c>
      <c r="E69" s="142">
        <v>1000</v>
      </c>
      <c r="F69" s="10"/>
      <c r="G69" s="10"/>
      <c r="H69" s="10"/>
      <c r="I69" s="10"/>
      <c r="J69" s="10"/>
      <c r="K69" s="10"/>
    </row>
    <row r="70" spans="2:11" ht="14.25">
      <c r="B70" s="10"/>
      <c r="C70" s="141" t="s">
        <v>73</v>
      </c>
      <c r="D70" s="143" t="s">
        <v>284</v>
      </c>
      <c r="E70" s="142">
        <v>0.001</v>
      </c>
      <c r="F70" s="10"/>
      <c r="G70" s="10"/>
      <c r="H70" s="10"/>
      <c r="I70" s="10"/>
      <c r="J70" s="10"/>
      <c r="K70" s="10"/>
    </row>
    <row r="71" spans="2:11" ht="12.75">
      <c r="B71" s="10"/>
      <c r="C71" s="141" t="s">
        <v>282</v>
      </c>
      <c r="D71" s="142" t="s">
        <v>281</v>
      </c>
      <c r="E71" s="142">
        <v>0.001</v>
      </c>
      <c r="F71" s="10"/>
      <c r="G71" s="10"/>
      <c r="H71" s="10"/>
      <c r="I71" s="10"/>
      <c r="J71" s="10"/>
      <c r="K71" s="10"/>
    </row>
  </sheetData>
  <sheetProtection sheet="1"/>
  <mergeCells count="41">
    <mergeCell ref="B32:K32"/>
    <mergeCell ref="C34:K34"/>
    <mergeCell ref="C38:K38"/>
    <mergeCell ref="C40:K40"/>
    <mergeCell ref="C33:K33"/>
    <mergeCell ref="C36:K36"/>
    <mergeCell ref="B59:K59"/>
    <mergeCell ref="C35:K35"/>
    <mergeCell ref="B62:K62"/>
    <mergeCell ref="B56:K56"/>
    <mergeCell ref="B58:K58"/>
    <mergeCell ref="B61:K61"/>
    <mergeCell ref="B60:K60"/>
    <mergeCell ref="B53:K53"/>
    <mergeCell ref="B51:K51"/>
    <mergeCell ref="B3:K3"/>
    <mergeCell ref="B28:K28"/>
    <mergeCell ref="B17:K17"/>
    <mergeCell ref="B21:K21"/>
    <mergeCell ref="B5:K5"/>
    <mergeCell ref="B7:K7"/>
    <mergeCell ref="B24:K24"/>
    <mergeCell ref="B26:K26"/>
    <mergeCell ref="B25:K25"/>
    <mergeCell ref="B19:K19"/>
    <mergeCell ref="B64:K64"/>
    <mergeCell ref="C37:K37"/>
    <mergeCell ref="B55:K55"/>
    <mergeCell ref="B57:K57"/>
    <mergeCell ref="B54:K54"/>
    <mergeCell ref="B49:K49"/>
    <mergeCell ref="C47:K47"/>
    <mergeCell ref="C39:K39"/>
    <mergeCell ref="B52:K52"/>
    <mergeCell ref="C41:K41"/>
    <mergeCell ref="B22:K22"/>
    <mergeCell ref="B30:K30"/>
    <mergeCell ref="B13:K13"/>
    <mergeCell ref="B15:K15"/>
    <mergeCell ref="B9:K9"/>
    <mergeCell ref="B11:K11"/>
  </mergeCells>
  <printOptions horizontalCentered="1"/>
  <pageMargins left="0.56" right="0.4" top="0.65" bottom="1" header="0.43" footer="0.5"/>
  <pageSetup firstPageNumber="2" useFirstPageNumber="1" horizontalDpi="600" verticalDpi="600" orientation="landscape" paperSize="9" scale="80" r:id="rId1"/>
  <headerFooter alignWithMargins="0">
    <oddFooter>&amp;C&amp;"Arial,Regular"&amp;8UNSD/United Nations Environment Programme Questionnaire 2018 on Environment Statistics - Water Section - p.&amp;P</oddFooter>
  </headerFooter>
  <rowBreaks count="3" manualBreakCount="3">
    <brk id="29" max="255" man="1"/>
    <brk id="48" max="255" man="1"/>
    <brk id="63" max="255" man="1"/>
  </rowBreaks>
</worksheet>
</file>

<file path=xl/worksheets/sheet3.xml><?xml version="1.0" encoding="utf-8"?>
<worksheet xmlns="http://schemas.openxmlformats.org/spreadsheetml/2006/main" xmlns:r="http://schemas.openxmlformats.org/officeDocument/2006/relationships">
  <dimension ref="A1:P103"/>
  <sheetViews>
    <sheetView showGridLines="0" zoomScaleSheetLayoutView="85" workbookViewId="0" topLeftCell="A1">
      <selection activeCell="A1" sqref="A1"/>
    </sheetView>
  </sheetViews>
  <sheetFormatPr defaultColWidth="9.33203125" defaultRowHeight="12.75"/>
  <cols>
    <col min="1" max="1" width="3.33203125" style="2" customWidth="1"/>
    <col min="2" max="2" width="11.83203125" style="21" customWidth="1"/>
    <col min="3" max="3" width="33.83203125" style="16" customWidth="1"/>
    <col min="4" max="4" width="121" style="16" customWidth="1"/>
    <col min="5" max="5" width="5.5" style="101" customWidth="1"/>
    <col min="6" max="6" width="5.5" style="102" customWidth="1"/>
    <col min="7" max="7" width="9.33203125" style="102" customWidth="1"/>
    <col min="8" max="10" width="9.33203125" style="2" customWidth="1"/>
    <col min="11" max="11" width="20.5" style="2" customWidth="1"/>
    <col min="12" max="16384" width="9.33203125" style="2" customWidth="1"/>
  </cols>
  <sheetData>
    <row r="1" ht="15.75">
      <c r="B1" s="28" t="s">
        <v>308</v>
      </c>
    </row>
    <row r="2" ht="7.5" customHeight="1"/>
    <row r="3" spans="2:4" ht="18">
      <c r="B3" s="722" t="s">
        <v>320</v>
      </c>
      <c r="C3" s="722"/>
      <c r="D3" s="722"/>
    </row>
    <row r="4" spans="2:4" ht="12.75" customHeight="1">
      <c r="B4" s="100"/>
      <c r="C4" s="145"/>
      <c r="D4" s="146"/>
    </row>
    <row r="5" spans="2:4" ht="15.75">
      <c r="B5" s="723" t="s">
        <v>136</v>
      </c>
      <c r="C5" s="723"/>
      <c r="D5" s="723"/>
    </row>
    <row r="6" spans="2:7" s="11" customFormat="1" ht="40.5" customHeight="1" thickBot="1">
      <c r="B6" s="725" t="s">
        <v>585</v>
      </c>
      <c r="C6" s="726"/>
      <c r="D6" s="726"/>
      <c r="E6" s="101"/>
      <c r="F6" s="102"/>
      <c r="G6" s="102"/>
    </row>
    <row r="7" spans="2:4" ht="40.5" customHeight="1">
      <c r="B7" s="147" t="s">
        <v>517</v>
      </c>
      <c r="C7" s="148" t="s">
        <v>275</v>
      </c>
      <c r="D7" s="149" t="s">
        <v>74</v>
      </c>
    </row>
    <row r="8" spans="2:7" s="11" customFormat="1" ht="27.75" customHeight="1">
      <c r="B8" s="150" t="s">
        <v>1</v>
      </c>
      <c r="C8" s="151" t="s">
        <v>516</v>
      </c>
      <c r="D8" s="152" t="s">
        <v>260</v>
      </c>
      <c r="E8" s="103"/>
      <c r="F8" s="102"/>
      <c r="G8" s="102"/>
    </row>
    <row r="9" spans="2:7" s="11" customFormat="1" ht="108.75" customHeight="1">
      <c r="B9" s="150" t="s">
        <v>621</v>
      </c>
      <c r="C9" s="151" t="s">
        <v>75</v>
      </c>
      <c r="D9" s="152" t="s">
        <v>104</v>
      </c>
      <c r="E9" s="103"/>
      <c r="F9" s="102"/>
      <c r="G9" s="102"/>
    </row>
    <row r="10" spans="2:7" s="11" customFormat="1" ht="54" customHeight="1">
      <c r="B10" s="178" t="s">
        <v>69</v>
      </c>
      <c r="C10" s="153" t="s">
        <v>70</v>
      </c>
      <c r="D10" s="179" t="s">
        <v>197</v>
      </c>
      <c r="E10" s="103"/>
      <c r="F10" s="102"/>
      <c r="G10" s="102"/>
    </row>
    <row r="11" spans="2:7" s="11" customFormat="1" ht="54" customHeight="1">
      <c r="B11" s="659" t="s">
        <v>541</v>
      </c>
      <c r="C11" s="151" t="s">
        <v>542</v>
      </c>
      <c r="D11" s="152" t="s">
        <v>543</v>
      </c>
      <c r="E11" s="103"/>
      <c r="F11" s="102"/>
      <c r="G11" s="102"/>
    </row>
    <row r="12" spans="2:7" s="11" customFormat="1" ht="54" customHeight="1">
      <c r="B12" s="150" t="s">
        <v>520</v>
      </c>
      <c r="C12" s="151" t="s">
        <v>274</v>
      </c>
      <c r="D12" s="152" t="s">
        <v>0</v>
      </c>
      <c r="E12" s="103"/>
      <c r="F12" s="102"/>
      <c r="G12" s="102"/>
    </row>
    <row r="13" spans="2:7" s="11" customFormat="1" ht="54" customHeight="1">
      <c r="B13" s="168" t="s">
        <v>544</v>
      </c>
      <c r="C13" s="169" t="s">
        <v>545</v>
      </c>
      <c r="D13" s="660" t="s">
        <v>546</v>
      </c>
      <c r="E13" s="103"/>
      <c r="F13" s="102"/>
      <c r="G13" s="102"/>
    </row>
    <row r="14" spans="2:7" s="11" customFormat="1" ht="26.25" customHeight="1">
      <c r="B14" s="162" t="s">
        <v>550</v>
      </c>
      <c r="C14" s="151" t="s">
        <v>573</v>
      </c>
      <c r="D14" s="661" t="s">
        <v>574</v>
      </c>
      <c r="E14" s="103"/>
      <c r="F14" s="102"/>
      <c r="G14" s="102"/>
    </row>
    <row r="15" spans="2:7" s="11" customFormat="1" ht="54" customHeight="1" thickBot="1">
      <c r="B15" s="662" t="s">
        <v>547</v>
      </c>
      <c r="C15" s="173" t="s">
        <v>548</v>
      </c>
      <c r="D15" s="663" t="s">
        <v>549</v>
      </c>
      <c r="E15" s="103"/>
      <c r="F15" s="102"/>
      <c r="G15" s="102"/>
    </row>
    <row r="16" spans="2:4" ht="21.75" customHeight="1">
      <c r="B16" s="154"/>
      <c r="C16" s="145"/>
      <c r="D16" s="146"/>
    </row>
    <row r="17" spans="2:4" ht="18" customHeight="1" thickBot="1">
      <c r="B17" s="724" t="s">
        <v>318</v>
      </c>
      <c r="C17" s="724"/>
      <c r="D17" s="724"/>
    </row>
    <row r="18" spans="2:7" ht="32.25" customHeight="1">
      <c r="B18" s="155" t="s">
        <v>25</v>
      </c>
      <c r="C18" s="156" t="s">
        <v>3</v>
      </c>
      <c r="D18" s="157" t="s">
        <v>318</v>
      </c>
      <c r="E18" s="101" t="s">
        <v>135</v>
      </c>
      <c r="G18" s="102" t="s">
        <v>151</v>
      </c>
    </row>
    <row r="19" spans="2:7" ht="30.75" customHeight="1">
      <c r="B19" s="158" t="s">
        <v>27</v>
      </c>
      <c r="C19" s="151" t="s">
        <v>299</v>
      </c>
      <c r="D19" s="159" t="s">
        <v>239</v>
      </c>
      <c r="E19" s="101">
        <v>1</v>
      </c>
      <c r="G19" s="102">
        <v>7</v>
      </c>
    </row>
    <row r="20" spans="2:7" ht="66.75" customHeight="1">
      <c r="B20" s="158" t="s">
        <v>28</v>
      </c>
      <c r="C20" s="151" t="s">
        <v>500</v>
      </c>
      <c r="D20" s="160" t="s">
        <v>256</v>
      </c>
      <c r="E20" s="101">
        <v>2</v>
      </c>
      <c r="G20" s="102">
        <v>28</v>
      </c>
    </row>
    <row r="21" spans="2:7" ht="56.25" customHeight="1">
      <c r="B21" s="158" t="s">
        <v>29</v>
      </c>
      <c r="C21" s="151" t="s">
        <v>501</v>
      </c>
      <c r="D21" s="159" t="s">
        <v>223</v>
      </c>
      <c r="E21" s="101">
        <v>3</v>
      </c>
      <c r="G21" s="102">
        <v>26</v>
      </c>
    </row>
    <row r="22" spans="2:7" ht="39" customHeight="1">
      <c r="B22" s="158" t="s">
        <v>30</v>
      </c>
      <c r="C22" s="151" t="s">
        <v>215</v>
      </c>
      <c r="D22" s="159" t="s">
        <v>333</v>
      </c>
      <c r="E22" s="101">
        <v>4</v>
      </c>
      <c r="G22" s="102">
        <v>19</v>
      </c>
    </row>
    <row r="23" spans="2:7" ht="27" customHeight="1">
      <c r="B23" s="158" t="s">
        <v>31</v>
      </c>
      <c r="C23" s="151" t="s">
        <v>518</v>
      </c>
      <c r="D23" s="160" t="s">
        <v>198</v>
      </c>
      <c r="E23" s="101">
        <v>5</v>
      </c>
      <c r="G23" s="102">
        <v>20</v>
      </c>
    </row>
    <row r="24" spans="2:7" ht="40.5" customHeight="1">
      <c r="B24" s="158" t="s">
        <v>32</v>
      </c>
      <c r="C24" s="151" t="s">
        <v>216</v>
      </c>
      <c r="D24" s="159" t="s">
        <v>209</v>
      </c>
      <c r="E24" s="101">
        <v>6</v>
      </c>
      <c r="G24" s="102">
        <v>21</v>
      </c>
    </row>
    <row r="25" spans="2:4" ht="28.5" customHeight="1">
      <c r="B25" s="158" t="s">
        <v>41</v>
      </c>
      <c r="C25" s="151" t="s">
        <v>292</v>
      </c>
      <c r="D25" s="159" t="s">
        <v>293</v>
      </c>
    </row>
    <row r="26" spans="2:4" ht="26.25" customHeight="1">
      <c r="B26" s="158" t="s">
        <v>42</v>
      </c>
      <c r="C26" s="151" t="s">
        <v>43</v>
      </c>
      <c r="D26" s="159" t="s">
        <v>294</v>
      </c>
    </row>
    <row r="27" spans="2:7" ht="29.25" customHeight="1">
      <c r="B27" s="158" t="s">
        <v>207</v>
      </c>
      <c r="C27" s="151" t="s">
        <v>88</v>
      </c>
      <c r="D27" s="159" t="s">
        <v>208</v>
      </c>
      <c r="E27" s="101">
        <v>6</v>
      </c>
      <c r="G27" s="102">
        <v>21</v>
      </c>
    </row>
    <row r="28" spans="2:7" ht="27.75" customHeight="1">
      <c r="B28" s="158" t="s">
        <v>77</v>
      </c>
      <c r="C28" s="151" t="s">
        <v>176</v>
      </c>
      <c r="D28" s="159" t="s">
        <v>210</v>
      </c>
      <c r="E28" s="101">
        <v>8</v>
      </c>
      <c r="G28" s="102">
        <v>47</v>
      </c>
    </row>
    <row r="29" spans="1:7" ht="102" customHeight="1">
      <c r="A29" s="11"/>
      <c r="B29" s="158" t="s">
        <v>82</v>
      </c>
      <c r="C29" s="151" t="s">
        <v>273</v>
      </c>
      <c r="D29" s="161" t="s">
        <v>224</v>
      </c>
      <c r="E29" s="101">
        <v>22</v>
      </c>
      <c r="G29" s="102" t="s">
        <v>178</v>
      </c>
    </row>
    <row r="30" spans="2:7" s="11" customFormat="1" ht="64.5" customHeight="1">
      <c r="B30" s="158" t="s">
        <v>82</v>
      </c>
      <c r="C30" s="151" t="s">
        <v>26</v>
      </c>
      <c r="D30" s="161" t="s">
        <v>225</v>
      </c>
      <c r="E30" s="101"/>
      <c r="F30" s="102"/>
      <c r="G30" s="102"/>
    </row>
    <row r="31" spans="2:5" ht="27" customHeight="1">
      <c r="B31" s="162" t="s">
        <v>212</v>
      </c>
      <c r="C31" s="151" t="s">
        <v>211</v>
      </c>
      <c r="D31" s="161" t="s">
        <v>226</v>
      </c>
      <c r="E31" s="101">
        <v>9</v>
      </c>
    </row>
    <row r="32" spans="2:7" s="11" customFormat="1" ht="15.75" customHeight="1">
      <c r="B32" s="158" t="s">
        <v>33</v>
      </c>
      <c r="C32" s="151" t="s">
        <v>227</v>
      </c>
      <c r="D32" s="161" t="s">
        <v>228</v>
      </c>
      <c r="E32" s="101"/>
      <c r="F32" s="102"/>
      <c r="G32" s="102"/>
    </row>
    <row r="33" spans="2:7" s="11" customFormat="1" ht="52.5" customHeight="1">
      <c r="B33" s="158" t="s">
        <v>213</v>
      </c>
      <c r="C33" s="151" t="s">
        <v>455</v>
      </c>
      <c r="D33" s="161" t="s">
        <v>96</v>
      </c>
      <c r="E33" s="101"/>
      <c r="F33" s="102"/>
      <c r="G33" s="102"/>
    </row>
    <row r="34" spans="2:7" s="11" customFormat="1" ht="65.25" customHeight="1">
      <c r="B34" s="162" t="s">
        <v>229</v>
      </c>
      <c r="C34" s="163" t="s">
        <v>97</v>
      </c>
      <c r="D34" s="160" t="s">
        <v>139</v>
      </c>
      <c r="E34" s="101">
        <v>25</v>
      </c>
      <c r="F34" s="102"/>
      <c r="G34" s="102"/>
    </row>
    <row r="35" spans="2:7" s="11" customFormat="1" ht="30" customHeight="1">
      <c r="B35" s="162" t="s">
        <v>295</v>
      </c>
      <c r="C35" s="163" t="s">
        <v>98</v>
      </c>
      <c r="D35" s="160" t="s">
        <v>478</v>
      </c>
      <c r="E35" s="101"/>
      <c r="F35" s="102"/>
      <c r="G35" s="102"/>
    </row>
    <row r="36" spans="2:7" s="11" customFormat="1" ht="42" customHeight="1">
      <c r="B36" s="162" t="s">
        <v>296</v>
      </c>
      <c r="C36" s="163" t="s">
        <v>99</v>
      </c>
      <c r="D36" s="160" t="s">
        <v>479</v>
      </c>
      <c r="E36" s="101"/>
      <c r="F36" s="102"/>
      <c r="G36" s="102"/>
    </row>
    <row r="37" spans="2:7" s="11" customFormat="1" ht="33.75" customHeight="1">
      <c r="B37" s="162" t="s">
        <v>575</v>
      </c>
      <c r="C37" s="151" t="s">
        <v>622</v>
      </c>
      <c r="D37" s="160" t="s">
        <v>5</v>
      </c>
      <c r="E37" s="101"/>
      <c r="F37" s="102"/>
      <c r="G37" s="102"/>
    </row>
    <row r="38" spans="2:7" s="11" customFormat="1" ht="42" customHeight="1">
      <c r="B38" s="162" t="s">
        <v>230</v>
      </c>
      <c r="C38" s="163" t="s">
        <v>551</v>
      </c>
      <c r="D38" s="160" t="s">
        <v>564</v>
      </c>
      <c r="E38" s="101"/>
      <c r="F38" s="102"/>
      <c r="G38" s="102"/>
    </row>
    <row r="39" spans="2:7" s="11" customFormat="1" ht="42" customHeight="1">
      <c r="B39" s="162" t="s">
        <v>36</v>
      </c>
      <c r="C39" s="163" t="s">
        <v>100</v>
      </c>
      <c r="D39" s="160" t="s">
        <v>480</v>
      </c>
      <c r="E39" s="101"/>
      <c r="F39" s="102"/>
      <c r="G39" s="102"/>
    </row>
    <row r="40" spans="2:7" s="11" customFormat="1" ht="42" customHeight="1">
      <c r="B40" s="162" t="s">
        <v>240</v>
      </c>
      <c r="C40" s="163" t="s">
        <v>552</v>
      </c>
      <c r="D40" s="160" t="s">
        <v>576</v>
      </c>
      <c r="E40" s="101"/>
      <c r="F40" s="102"/>
      <c r="G40" s="102"/>
    </row>
    <row r="41" spans="2:7" s="11" customFormat="1" ht="42" customHeight="1">
      <c r="B41" s="162" t="s">
        <v>241</v>
      </c>
      <c r="C41" s="163" t="s">
        <v>587</v>
      </c>
      <c r="D41" s="160" t="s">
        <v>109</v>
      </c>
      <c r="E41" s="101"/>
      <c r="F41" s="102"/>
      <c r="G41" s="102"/>
    </row>
    <row r="42" spans="2:7" s="11" customFormat="1" ht="42" customHeight="1">
      <c r="B42" s="162" t="s">
        <v>242</v>
      </c>
      <c r="C42" s="163" t="s">
        <v>553</v>
      </c>
      <c r="D42" s="160" t="s">
        <v>565</v>
      </c>
      <c r="E42" s="101"/>
      <c r="F42" s="102"/>
      <c r="G42" s="102"/>
    </row>
    <row r="43" spans="2:7" s="11" customFormat="1" ht="38.25" customHeight="1">
      <c r="B43" s="162" t="s">
        <v>243</v>
      </c>
      <c r="C43" s="163" t="s">
        <v>101</v>
      </c>
      <c r="D43" s="160" t="s">
        <v>110</v>
      </c>
      <c r="E43" s="101"/>
      <c r="F43" s="102"/>
      <c r="G43" s="102"/>
    </row>
    <row r="44" spans="2:7" s="11" customFormat="1" ht="20.25" customHeight="1">
      <c r="B44" s="162" t="s">
        <v>244</v>
      </c>
      <c r="C44" s="151" t="s">
        <v>300</v>
      </c>
      <c r="D44" s="160" t="s">
        <v>456</v>
      </c>
      <c r="E44" s="101"/>
      <c r="F44" s="102"/>
      <c r="G44" s="102"/>
    </row>
    <row r="45" spans="2:7" s="11" customFormat="1" ht="43.5" customHeight="1">
      <c r="B45" s="162" t="s">
        <v>588</v>
      </c>
      <c r="C45" s="151" t="s">
        <v>519</v>
      </c>
      <c r="D45" s="160" t="s">
        <v>102</v>
      </c>
      <c r="E45" s="101"/>
      <c r="F45" s="102"/>
      <c r="G45" s="102"/>
    </row>
    <row r="46" spans="2:7" s="11" customFormat="1" ht="25.5">
      <c r="B46" s="162" t="s">
        <v>245</v>
      </c>
      <c r="C46" s="151" t="s">
        <v>513</v>
      </c>
      <c r="D46" s="160" t="s">
        <v>103</v>
      </c>
      <c r="E46" s="101"/>
      <c r="F46" s="102"/>
      <c r="G46" s="102"/>
    </row>
    <row r="47" spans="2:7" s="11" customFormat="1" ht="25.5">
      <c r="B47" s="162" t="s">
        <v>247</v>
      </c>
      <c r="C47" s="151" t="s">
        <v>514</v>
      </c>
      <c r="D47" s="160" t="s">
        <v>115</v>
      </c>
      <c r="E47" s="101"/>
      <c r="F47" s="102"/>
      <c r="G47" s="102"/>
    </row>
    <row r="48" spans="2:7" s="11" customFormat="1" ht="25.5">
      <c r="B48" s="162" t="s">
        <v>192</v>
      </c>
      <c r="C48" s="151" t="s">
        <v>177</v>
      </c>
      <c r="D48" s="164" t="s">
        <v>199</v>
      </c>
      <c r="E48" s="101"/>
      <c r="F48" s="102"/>
      <c r="G48" s="102"/>
    </row>
    <row r="49" spans="2:7" s="11" customFormat="1" ht="28.5" customHeight="1">
      <c r="B49" s="162" t="s">
        <v>554</v>
      </c>
      <c r="C49" s="151" t="s">
        <v>71</v>
      </c>
      <c r="D49" s="160" t="s">
        <v>116</v>
      </c>
      <c r="E49" s="101"/>
      <c r="F49" s="102"/>
      <c r="G49" s="102"/>
    </row>
    <row r="50" spans="2:7" s="11" customFormat="1" ht="42" customHeight="1">
      <c r="B50" s="162" t="s">
        <v>193</v>
      </c>
      <c r="C50" s="151" t="s">
        <v>257</v>
      </c>
      <c r="D50" s="160" t="s">
        <v>246</v>
      </c>
      <c r="E50" s="101"/>
      <c r="F50" s="102"/>
      <c r="G50" s="102"/>
    </row>
    <row r="51" spans="2:7" s="11" customFormat="1" ht="42" customHeight="1">
      <c r="B51" s="162" t="s">
        <v>194</v>
      </c>
      <c r="C51" s="163" t="s">
        <v>248</v>
      </c>
      <c r="D51" s="160" t="s">
        <v>111</v>
      </c>
      <c r="E51" s="101"/>
      <c r="F51" s="102"/>
      <c r="G51" s="102"/>
    </row>
    <row r="52" spans="2:7" s="11" customFormat="1" ht="38.25">
      <c r="B52" s="165" t="s">
        <v>37</v>
      </c>
      <c r="C52" s="166" t="s">
        <v>117</v>
      </c>
      <c r="D52" s="167" t="s">
        <v>118</v>
      </c>
      <c r="E52" s="101"/>
      <c r="F52" s="102"/>
      <c r="G52" s="102"/>
    </row>
    <row r="53" spans="2:7" s="11" customFormat="1" ht="39" customHeight="1">
      <c r="B53" s="168" t="s">
        <v>566</v>
      </c>
      <c r="C53" s="170" t="s">
        <v>567</v>
      </c>
      <c r="D53" s="160" t="s">
        <v>590</v>
      </c>
      <c r="E53" s="101"/>
      <c r="F53" s="102"/>
      <c r="G53" s="102"/>
    </row>
    <row r="54" spans="2:7" s="11" customFormat="1" ht="33.75" customHeight="1">
      <c r="B54" s="168" t="s">
        <v>555</v>
      </c>
      <c r="C54" s="170" t="s">
        <v>119</v>
      </c>
      <c r="D54" s="160" t="s">
        <v>195</v>
      </c>
      <c r="E54" s="101"/>
      <c r="F54" s="102"/>
      <c r="G54" s="102"/>
    </row>
    <row r="55" spans="2:7" s="11" customFormat="1" ht="45" customHeight="1">
      <c r="B55" s="168" t="s">
        <v>568</v>
      </c>
      <c r="C55" s="170" t="s">
        <v>569</v>
      </c>
      <c r="D55" s="160" t="s">
        <v>571</v>
      </c>
      <c r="E55" s="101"/>
      <c r="F55" s="102"/>
      <c r="G55" s="102"/>
    </row>
    <row r="56" spans="2:7" s="11" customFormat="1" ht="42" customHeight="1">
      <c r="B56" s="162" t="s">
        <v>556</v>
      </c>
      <c r="C56" s="163" t="s">
        <v>120</v>
      </c>
      <c r="D56" s="160" t="s">
        <v>112</v>
      </c>
      <c r="E56" s="101"/>
      <c r="F56" s="102"/>
      <c r="G56" s="102"/>
    </row>
    <row r="57" spans="2:7" s="11" customFormat="1" ht="36.75" customHeight="1">
      <c r="B57" s="168" t="s">
        <v>570</v>
      </c>
      <c r="C57" s="170" t="s">
        <v>591</v>
      </c>
      <c r="D57" s="160" t="s">
        <v>632</v>
      </c>
      <c r="E57" s="101"/>
      <c r="F57" s="102"/>
      <c r="G57" s="102"/>
    </row>
    <row r="58" spans="2:7" s="11" customFormat="1" ht="35.25" customHeight="1">
      <c r="B58" s="158" t="s">
        <v>557</v>
      </c>
      <c r="C58" s="163" t="s">
        <v>121</v>
      </c>
      <c r="D58" s="160" t="s">
        <v>485</v>
      </c>
      <c r="E58" s="101"/>
      <c r="F58" s="102"/>
      <c r="G58" s="102"/>
    </row>
    <row r="59" spans="1:5" ht="29.25" customHeight="1">
      <c r="A59" s="11"/>
      <c r="B59" s="162" t="s">
        <v>249</v>
      </c>
      <c r="C59" s="151" t="s">
        <v>15</v>
      </c>
      <c r="D59" s="160" t="s">
        <v>144</v>
      </c>
      <c r="E59" s="101">
        <v>27</v>
      </c>
    </row>
    <row r="60" spans="2:7" s="11" customFormat="1" ht="38.25" customHeight="1">
      <c r="B60" s="162" t="s">
        <v>250</v>
      </c>
      <c r="C60" s="151" t="s">
        <v>258</v>
      </c>
      <c r="D60" s="160" t="s">
        <v>201</v>
      </c>
      <c r="E60" s="101">
        <v>30</v>
      </c>
      <c r="F60" s="102"/>
      <c r="G60" s="102"/>
    </row>
    <row r="61" spans="2:7" s="11" customFormat="1" ht="33" customHeight="1">
      <c r="B61" s="162" t="s">
        <v>561</v>
      </c>
      <c r="C61" s="151" t="s">
        <v>18</v>
      </c>
      <c r="D61" s="160" t="s">
        <v>219</v>
      </c>
      <c r="E61" s="101">
        <v>29</v>
      </c>
      <c r="F61" s="102"/>
      <c r="G61" s="102"/>
    </row>
    <row r="62" spans="2:7" s="11" customFormat="1" ht="30" customHeight="1">
      <c r="B62" s="162" t="s">
        <v>562</v>
      </c>
      <c r="C62" s="151" t="s">
        <v>510</v>
      </c>
      <c r="D62" s="160" t="s">
        <v>220</v>
      </c>
      <c r="E62" s="101"/>
      <c r="F62" s="102"/>
      <c r="G62" s="102"/>
    </row>
    <row r="63" spans="2:7" s="11" customFormat="1" ht="30.75" customHeight="1">
      <c r="B63" s="162" t="s">
        <v>563</v>
      </c>
      <c r="C63" s="151" t="s">
        <v>511</v>
      </c>
      <c r="D63" s="160" t="s">
        <v>221</v>
      </c>
      <c r="E63" s="101"/>
      <c r="F63" s="102"/>
      <c r="G63" s="102"/>
    </row>
    <row r="64" spans="2:7" s="11" customFormat="1" ht="51">
      <c r="B64" s="162" t="s">
        <v>261</v>
      </c>
      <c r="C64" s="151" t="s">
        <v>91</v>
      </c>
      <c r="D64" s="161" t="s">
        <v>589</v>
      </c>
      <c r="E64" s="101">
        <v>18</v>
      </c>
      <c r="F64" s="102"/>
      <c r="G64" s="102"/>
    </row>
    <row r="65" spans="2:7" s="11" customFormat="1" ht="30" customHeight="1">
      <c r="B65" s="162" t="s">
        <v>577</v>
      </c>
      <c r="C65" s="163" t="s">
        <v>23</v>
      </c>
      <c r="D65" s="161" t="s">
        <v>262</v>
      </c>
      <c r="E65" s="101"/>
      <c r="F65" s="102"/>
      <c r="G65" s="102"/>
    </row>
    <row r="66" spans="1:7" s="11" customFormat="1" ht="42" customHeight="1">
      <c r="A66" s="2"/>
      <c r="B66" s="162" t="s">
        <v>578</v>
      </c>
      <c r="C66" s="151" t="s">
        <v>190</v>
      </c>
      <c r="D66" s="160" t="s">
        <v>200</v>
      </c>
      <c r="E66" s="101"/>
      <c r="F66" s="102"/>
      <c r="G66" s="102"/>
    </row>
    <row r="67" spans="1:7" s="11" customFormat="1" ht="41.25" customHeight="1">
      <c r="A67" s="2"/>
      <c r="B67" s="162" t="s">
        <v>579</v>
      </c>
      <c r="C67" s="151" t="s">
        <v>191</v>
      </c>
      <c r="D67" s="160" t="s">
        <v>106</v>
      </c>
      <c r="E67" s="101"/>
      <c r="F67" s="102"/>
      <c r="G67" s="102"/>
    </row>
    <row r="68" spans="1:7" s="11" customFormat="1" ht="58.5" customHeight="1">
      <c r="A68" s="2"/>
      <c r="B68" s="162" t="s">
        <v>580</v>
      </c>
      <c r="C68" s="151" t="s">
        <v>133</v>
      </c>
      <c r="D68" s="160" t="s">
        <v>286</v>
      </c>
      <c r="E68" s="101">
        <v>34</v>
      </c>
      <c r="F68" s="102"/>
      <c r="G68" s="102"/>
    </row>
    <row r="69" spans="2:5" ht="56.25" customHeight="1">
      <c r="B69" s="162" t="s">
        <v>581</v>
      </c>
      <c r="C69" s="151" t="s">
        <v>134</v>
      </c>
      <c r="D69" s="160" t="s">
        <v>289</v>
      </c>
      <c r="E69" s="101">
        <v>35</v>
      </c>
    </row>
    <row r="70" spans="2:5" ht="67.5" customHeight="1">
      <c r="B70" s="162" t="s">
        <v>582</v>
      </c>
      <c r="C70" s="151" t="s">
        <v>507</v>
      </c>
      <c r="D70" s="160" t="s">
        <v>189</v>
      </c>
      <c r="E70" s="101">
        <v>53</v>
      </c>
    </row>
    <row r="71" spans="1:5" ht="51.75" customHeight="1">
      <c r="A71" s="107"/>
      <c r="B71" s="162" t="s">
        <v>583</v>
      </c>
      <c r="C71" s="151" t="s">
        <v>269</v>
      </c>
      <c r="D71" s="161" t="s">
        <v>263</v>
      </c>
      <c r="E71" s="101">
        <v>36</v>
      </c>
    </row>
    <row r="72" spans="1:7" s="20" customFormat="1" ht="38.25">
      <c r="A72" s="2"/>
      <c r="B72" s="162" t="s">
        <v>584</v>
      </c>
      <c r="C72" s="151" t="s">
        <v>34</v>
      </c>
      <c r="D72" s="160" t="s">
        <v>179</v>
      </c>
      <c r="E72" s="101">
        <v>42</v>
      </c>
      <c r="F72" s="104"/>
      <c r="G72" s="104"/>
    </row>
    <row r="73" spans="2:5" ht="27.75" customHeight="1">
      <c r="B73" s="162" t="s">
        <v>251</v>
      </c>
      <c r="C73" s="151" t="s">
        <v>9</v>
      </c>
      <c r="D73" s="160" t="s">
        <v>140</v>
      </c>
      <c r="E73" s="101">
        <v>43</v>
      </c>
    </row>
    <row r="74" spans="1:5" ht="27.75" customHeight="1">
      <c r="A74" s="11"/>
      <c r="B74" s="162" t="s">
        <v>252</v>
      </c>
      <c r="C74" s="151" t="s">
        <v>10</v>
      </c>
      <c r="D74" s="160" t="s">
        <v>141</v>
      </c>
      <c r="E74" s="101">
        <v>44</v>
      </c>
    </row>
    <row r="75" spans="1:5" ht="40.5" customHeight="1">
      <c r="A75" s="11"/>
      <c r="B75" s="162" t="s">
        <v>253</v>
      </c>
      <c r="C75" s="151" t="s">
        <v>113</v>
      </c>
      <c r="D75" s="160" t="s">
        <v>142</v>
      </c>
      <c r="E75" s="101">
        <v>45</v>
      </c>
    </row>
    <row r="76" spans="2:7" s="11" customFormat="1" ht="27.75" customHeight="1">
      <c r="B76" s="162" t="s">
        <v>254</v>
      </c>
      <c r="C76" s="151" t="s">
        <v>150</v>
      </c>
      <c r="D76" s="160" t="s">
        <v>143</v>
      </c>
      <c r="E76" s="101">
        <v>46</v>
      </c>
      <c r="F76" s="102"/>
      <c r="G76" s="102"/>
    </row>
    <row r="77" spans="1:7" s="11" customFormat="1" ht="27.75" customHeight="1">
      <c r="A77" s="2"/>
      <c r="B77" s="158"/>
      <c r="C77" s="151" t="s">
        <v>270</v>
      </c>
      <c r="D77" s="160" t="s">
        <v>271</v>
      </c>
      <c r="E77" s="101">
        <v>48</v>
      </c>
      <c r="F77" s="102"/>
      <c r="G77" s="102"/>
    </row>
    <row r="78" spans="2:16" ht="39.75" customHeight="1">
      <c r="B78" s="158"/>
      <c r="C78" s="169" t="s">
        <v>183</v>
      </c>
      <c r="D78" s="171" t="s">
        <v>290</v>
      </c>
      <c r="E78" s="101">
        <v>49</v>
      </c>
      <c r="H78" s="11"/>
      <c r="I78" s="11"/>
      <c r="J78" s="11"/>
      <c r="K78" s="11"/>
      <c r="L78" s="11"/>
      <c r="M78" s="11"/>
      <c r="N78" s="11"/>
      <c r="O78" s="11"/>
      <c r="P78" s="11"/>
    </row>
    <row r="79" spans="2:16" ht="26.25" thickBot="1">
      <c r="B79" s="172"/>
      <c r="C79" s="173" t="s">
        <v>515</v>
      </c>
      <c r="D79" s="174" t="s">
        <v>291</v>
      </c>
      <c r="E79" s="101">
        <v>50</v>
      </c>
      <c r="H79" s="11"/>
      <c r="I79" s="11"/>
      <c r="J79" s="11"/>
      <c r="K79" s="11"/>
      <c r="L79" s="11"/>
      <c r="M79" s="11"/>
      <c r="N79" s="11"/>
      <c r="O79" s="11"/>
      <c r="P79" s="11"/>
    </row>
    <row r="80" spans="2:4" ht="12.75">
      <c r="B80" s="100"/>
      <c r="C80" s="40"/>
      <c r="D80" s="40"/>
    </row>
    <row r="81" spans="2:4" ht="12.75">
      <c r="B81" s="100"/>
      <c r="C81" s="40"/>
      <c r="D81" s="40"/>
    </row>
    <row r="82" spans="2:4" ht="12.75">
      <c r="B82" s="100"/>
      <c r="C82" s="40"/>
      <c r="D82" s="40"/>
    </row>
    <row r="83" spans="2:4" ht="12.75">
      <c r="B83" s="100"/>
      <c r="C83" s="40"/>
      <c r="D83" s="40"/>
    </row>
    <row r="84" spans="2:4" ht="12.75">
      <c r="B84" s="100"/>
      <c r="C84" s="40"/>
      <c r="D84" s="40"/>
    </row>
    <row r="85" spans="2:4" ht="12.75">
      <c r="B85" s="100"/>
      <c r="C85" s="40"/>
      <c r="D85" s="40"/>
    </row>
    <row r="86" spans="2:4" ht="12.75">
      <c r="B86" s="100"/>
      <c r="C86" s="40"/>
      <c r="D86" s="40"/>
    </row>
    <row r="87" spans="2:4" ht="12.75">
      <c r="B87" s="100"/>
      <c r="C87" s="40"/>
      <c r="D87" s="40"/>
    </row>
    <row r="88" spans="2:4" ht="12.75">
      <c r="B88" s="100"/>
      <c r="C88" s="40"/>
      <c r="D88" s="40"/>
    </row>
    <row r="89" spans="2:4" ht="12.75">
      <c r="B89" s="100"/>
      <c r="C89" s="40"/>
      <c r="D89" s="40"/>
    </row>
    <row r="90" spans="2:4" ht="12.75">
      <c r="B90" s="100"/>
      <c r="C90" s="40"/>
      <c r="D90" s="40"/>
    </row>
    <row r="91" spans="2:4" ht="12.75">
      <c r="B91" s="100"/>
      <c r="C91" s="40"/>
      <c r="D91" s="40"/>
    </row>
    <row r="92" spans="2:4" ht="12.75">
      <c r="B92" s="100"/>
      <c r="C92" s="40"/>
      <c r="D92" s="40"/>
    </row>
    <row r="93" spans="2:4" ht="12.75">
      <c r="B93" s="100"/>
      <c r="C93" s="40"/>
      <c r="D93" s="40"/>
    </row>
    <row r="94" spans="2:4" ht="12.75">
      <c r="B94" s="100"/>
      <c r="C94" s="40"/>
      <c r="D94" s="40"/>
    </row>
    <row r="95" spans="2:4" ht="12.75">
      <c r="B95" s="100"/>
      <c r="C95" s="40"/>
      <c r="D95" s="40"/>
    </row>
    <row r="96" spans="2:4" ht="12.75">
      <c r="B96" s="100"/>
      <c r="C96" s="40"/>
      <c r="D96" s="40"/>
    </row>
    <row r="97" spans="2:4" ht="12.75">
      <c r="B97" s="100"/>
      <c r="C97" s="40"/>
      <c r="D97" s="40"/>
    </row>
    <row r="98" spans="2:4" ht="12.75">
      <c r="B98" s="100"/>
      <c r="C98" s="40"/>
      <c r="D98" s="40"/>
    </row>
    <row r="99" spans="2:4" ht="12.75">
      <c r="B99" s="100"/>
      <c r="C99" s="40"/>
      <c r="D99" s="40"/>
    </row>
    <row r="100" spans="2:4" ht="12.75">
      <c r="B100" s="100"/>
      <c r="C100" s="40"/>
      <c r="D100" s="40"/>
    </row>
    <row r="101" spans="2:4" ht="12.75">
      <c r="B101" s="100"/>
      <c r="C101" s="40"/>
      <c r="D101" s="40"/>
    </row>
    <row r="102" spans="2:4" ht="12.75">
      <c r="B102" s="100"/>
      <c r="C102" s="40"/>
      <c r="D102" s="40"/>
    </row>
    <row r="103" spans="2:4" ht="12.75">
      <c r="B103" s="100"/>
      <c r="C103" s="40"/>
      <c r="D103" s="40"/>
    </row>
  </sheetData>
  <sheetProtection sheet="1"/>
  <mergeCells count="4">
    <mergeCell ref="B3:D3"/>
    <mergeCell ref="B5:D5"/>
    <mergeCell ref="B17:D17"/>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&amp;C&amp;"Arial,Regular"&amp;8UNSD/United Nations Environment Programme Questionnaire 2018 on Environment Statistics - Water Section - p.&amp;P</oddFooter>
  </headerFooter>
  <rowBreaks count="4" manualBreakCount="4">
    <brk id="15" min="1" max="3" man="1"/>
    <brk id="29" min="1" max="3" man="1"/>
    <brk id="56" min="1" max="3" man="1"/>
    <brk id="67" min="1" max="3" man="1"/>
  </rowBreaks>
</worksheet>
</file>

<file path=xl/worksheets/sheet4.xml><?xml version="1.0" encoding="utf-8"?>
<worksheet xmlns="http://schemas.openxmlformats.org/spreadsheetml/2006/main" xmlns:r="http://schemas.openxmlformats.org/officeDocument/2006/relationships">
  <dimension ref="A1:DT67"/>
  <sheetViews>
    <sheetView showGridLines="0" view="pageBreakPreview" zoomScaleNormal="55" zoomScaleSheetLayoutView="100" workbookViewId="0" topLeftCell="A1">
      <selection activeCell="A1" sqref="A1"/>
    </sheetView>
  </sheetViews>
  <sheetFormatPr defaultColWidth="9.33203125" defaultRowHeight="12.75"/>
  <cols>
    <col min="1" max="1" width="2.5" style="47" customWidth="1"/>
    <col min="2" max="2" width="2" style="47" customWidth="1"/>
    <col min="3" max="3" width="3" style="47" customWidth="1"/>
    <col min="4" max="11" width="20.83203125" style="47" customWidth="1"/>
    <col min="12" max="12" width="3.16015625" style="47" customWidth="1"/>
    <col min="13" max="14" width="8" style="47" customWidth="1"/>
    <col min="15" max="15" width="23.33203125" style="47" customWidth="1"/>
    <col min="16" max="16" width="13.83203125" style="47" customWidth="1"/>
    <col min="17" max="17" width="19" style="47" customWidth="1"/>
    <col min="18" max="19" width="10.33203125" style="47" customWidth="1"/>
    <col min="20" max="20" width="5.83203125" style="47" customWidth="1"/>
    <col min="21" max="21" width="24.5" style="47" customWidth="1"/>
    <col min="22" max="22" width="6.33203125" style="47" customWidth="1"/>
    <col min="23" max="23" width="2.66015625" style="47" customWidth="1"/>
    <col min="24" max="24" width="16.5" style="47" customWidth="1"/>
    <col min="25" max="25" width="2.16015625" style="47" customWidth="1"/>
    <col min="26" max="26" width="12" style="47" bestFit="1" customWidth="1"/>
    <col min="27" max="27" width="8.16015625" style="47" customWidth="1"/>
    <col min="28" max="28" width="17" style="47" customWidth="1"/>
    <col min="29" max="29" width="2.33203125" style="47" customWidth="1"/>
    <col min="30" max="30" width="12" style="47" bestFit="1" customWidth="1"/>
    <col min="31" max="31" width="8.5" style="47" customWidth="1"/>
    <col min="32" max="32" width="16.66015625" style="47" customWidth="1"/>
    <col min="33" max="33" width="2.66015625" style="47" customWidth="1"/>
    <col min="34" max="34" width="12" style="47" bestFit="1" customWidth="1"/>
    <col min="35" max="35" width="8.83203125" style="47" customWidth="1"/>
    <col min="36" max="36" width="17.66015625" style="47" customWidth="1"/>
    <col min="37" max="37" width="2.16015625" style="47" customWidth="1"/>
    <col min="38" max="38" width="12" style="47" bestFit="1" customWidth="1"/>
    <col min="39" max="39" width="3.16015625" style="47" customWidth="1"/>
    <col min="40" max="40" width="11.83203125" style="47" customWidth="1"/>
    <col min="41" max="41" width="4" style="47" customWidth="1"/>
    <col min="42" max="42" width="11.5" style="47" customWidth="1"/>
    <col min="43" max="43" width="2.5" style="47" customWidth="1"/>
    <col min="44" max="44" width="9.33203125" style="47" customWidth="1"/>
    <col min="45" max="45" width="2" style="47" customWidth="1"/>
    <col min="46" max="46" width="2.66015625" style="47" customWidth="1"/>
    <col min="47" max="16384" width="9.33203125" style="47" customWidth="1"/>
  </cols>
  <sheetData>
    <row r="1" spans="1:124" ht="15.75">
      <c r="A1" s="45"/>
      <c r="B1" s="45"/>
      <c r="C1" s="45"/>
      <c r="D1" s="46" t="s">
        <v>308</v>
      </c>
      <c r="E1" s="46"/>
      <c r="F1" s="46"/>
      <c r="G1" s="46"/>
      <c r="H1" s="46"/>
      <c r="I1" s="46"/>
      <c r="J1" s="46"/>
      <c r="K1" s="46"/>
      <c r="L1" s="46"/>
      <c r="M1" s="46"/>
      <c r="N1" s="46"/>
      <c r="O1" s="46"/>
      <c r="P1" s="46"/>
      <c r="Q1" s="46"/>
      <c r="R1" s="46"/>
      <c r="S1" s="46"/>
      <c r="T1" s="46"/>
      <c r="U1" s="46"/>
      <c r="V1" s="46"/>
      <c r="W1" s="46"/>
      <c r="X1" s="91"/>
      <c r="Y1" s="91"/>
      <c r="Z1" s="91"/>
      <c r="AA1" s="91"/>
      <c r="AB1" s="91"/>
      <c r="AC1" s="91"/>
      <c r="AD1" s="91"/>
      <c r="AE1" s="91"/>
      <c r="AF1" s="91"/>
      <c r="AG1" s="91"/>
      <c r="AH1" s="91"/>
      <c r="AI1" s="91"/>
      <c r="AJ1" s="91"/>
      <c r="AK1" s="91"/>
      <c r="AL1" s="91"/>
      <c r="AM1" s="91"/>
      <c r="AN1" s="91"/>
      <c r="AO1" s="91"/>
      <c r="AP1" s="91"/>
      <c r="AQ1" s="91"/>
      <c r="AR1" s="91"/>
      <c r="AS1" s="91"/>
      <c r="AT1" s="91"/>
      <c r="AU1" s="92"/>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row>
    <row r="2" spans="1:124" s="19" customFormat="1" ht="33" customHeight="1">
      <c r="A2" s="105"/>
      <c r="B2" s="105"/>
      <c r="C2" s="105"/>
      <c r="D2" s="749" t="s">
        <v>202</v>
      </c>
      <c r="E2" s="749"/>
      <c r="F2" s="749"/>
      <c r="G2" s="749"/>
      <c r="H2" s="749"/>
      <c r="I2" s="749"/>
      <c r="J2" s="749"/>
      <c r="K2" s="749"/>
      <c r="L2" s="749"/>
      <c r="M2" s="749"/>
      <c r="N2" s="749"/>
      <c r="O2" s="749"/>
      <c r="P2" s="749"/>
      <c r="Q2" s="749"/>
      <c r="R2" s="749"/>
      <c r="S2" s="749"/>
      <c r="T2" s="749"/>
      <c r="U2" s="749"/>
      <c r="V2" s="749"/>
      <c r="W2" s="749"/>
      <c r="X2" s="94"/>
      <c r="Y2" s="94"/>
      <c r="Z2" s="94"/>
      <c r="AA2" s="94"/>
      <c r="AB2" s="94"/>
      <c r="AC2" s="94"/>
      <c r="AD2" s="94"/>
      <c r="AE2" s="94"/>
      <c r="AF2" s="94"/>
      <c r="AG2" s="53"/>
      <c r="AH2" s="93"/>
      <c r="AI2" s="109"/>
      <c r="AJ2" s="109"/>
      <c r="AK2" s="109"/>
      <c r="AL2" s="109"/>
      <c r="AM2" s="109"/>
      <c r="AN2" s="109"/>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row>
    <row r="3" spans="1:124" ht="15.75">
      <c r="A3" s="45"/>
      <c r="B3" s="45"/>
      <c r="C3" s="45"/>
      <c r="D3" s="750" t="s">
        <v>267</v>
      </c>
      <c r="E3" s="750"/>
      <c r="F3" s="750"/>
      <c r="G3" s="750"/>
      <c r="H3" s="750"/>
      <c r="I3" s="750"/>
      <c r="J3" s="750"/>
      <c r="K3" s="750"/>
      <c r="L3" s="750"/>
      <c r="M3" s="750"/>
      <c r="N3" s="750"/>
      <c r="O3" s="750"/>
      <c r="P3" s="750"/>
      <c r="Q3" s="750"/>
      <c r="R3" s="750"/>
      <c r="S3" s="750"/>
      <c r="T3" s="750"/>
      <c r="U3" s="750"/>
      <c r="V3" s="750"/>
      <c r="W3" s="750"/>
      <c r="X3" s="91"/>
      <c r="Y3" s="91"/>
      <c r="Z3" s="91"/>
      <c r="AA3" s="91"/>
      <c r="AB3" s="91"/>
      <c r="AC3" s="91"/>
      <c r="AD3" s="91"/>
      <c r="AE3" s="91"/>
      <c r="AF3" s="91"/>
      <c r="AG3" s="91"/>
      <c r="AH3" s="91"/>
      <c r="AI3" s="91"/>
      <c r="AJ3" s="91"/>
      <c r="AK3" s="91"/>
      <c r="AL3" s="91"/>
      <c r="AM3" s="91"/>
      <c r="AN3" s="91"/>
      <c r="AO3" s="91"/>
      <c r="AP3" s="91"/>
      <c r="AQ3" s="91"/>
      <c r="AR3" s="91"/>
      <c r="AS3" s="91"/>
      <c r="AT3" s="91"/>
      <c r="AU3" s="92"/>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row>
    <row r="4" spans="1:124" ht="5.25" customHeight="1" thickBot="1">
      <c r="A4" s="45"/>
      <c r="B4" s="45"/>
      <c r="C4" s="45"/>
      <c r="D4" s="45"/>
      <c r="E4" s="45"/>
      <c r="F4" s="45"/>
      <c r="G4" s="45"/>
      <c r="H4" s="45"/>
      <c r="I4" s="45"/>
      <c r="J4" s="45"/>
      <c r="K4" s="45"/>
      <c r="L4" s="45"/>
      <c r="M4" s="45"/>
      <c r="N4" s="45"/>
      <c r="O4" s="45"/>
      <c r="P4" s="45"/>
      <c r="Q4" s="45"/>
      <c r="R4" s="45"/>
      <c r="S4" s="45"/>
      <c r="T4" s="45"/>
      <c r="U4" s="45"/>
      <c r="V4" s="45"/>
      <c r="W4" s="45"/>
      <c r="X4" s="92"/>
      <c r="Y4" s="92"/>
      <c r="Z4" s="92"/>
      <c r="AA4" s="92"/>
      <c r="AB4" s="92"/>
      <c r="AC4" s="92"/>
      <c r="AD4" s="92"/>
      <c r="AE4" s="92"/>
      <c r="AF4" s="92"/>
      <c r="AG4" s="92"/>
      <c r="AH4" s="92"/>
      <c r="AI4" s="92"/>
      <c r="AJ4" s="92"/>
      <c r="AK4" s="92"/>
      <c r="AL4" s="92"/>
      <c r="AM4" s="92"/>
      <c r="AN4" s="92"/>
      <c r="AO4" s="92"/>
      <c r="AP4" s="92"/>
      <c r="AQ4" s="92"/>
      <c r="AR4" s="92"/>
      <c r="AS4" s="92"/>
      <c r="AT4" s="92"/>
      <c r="AU4" s="92"/>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row>
    <row r="5" spans="1:124" ht="12.75" customHeight="1">
      <c r="A5" s="45"/>
      <c r="B5" s="57"/>
      <c r="C5" s="67"/>
      <c r="D5" s="58"/>
      <c r="E5" s="59"/>
      <c r="F5" s="59"/>
      <c r="G5" s="58"/>
      <c r="H5" s="59"/>
      <c r="I5" s="59"/>
      <c r="J5" s="59"/>
      <c r="K5" s="59"/>
      <c r="L5" s="59"/>
      <c r="M5" s="59"/>
      <c r="N5" s="59"/>
      <c r="O5" s="59"/>
      <c r="P5" s="59"/>
      <c r="Q5" s="60"/>
      <c r="R5" s="59"/>
      <c r="S5" s="59"/>
      <c r="T5" s="59"/>
      <c r="U5" s="59"/>
      <c r="V5" s="59"/>
      <c r="W5" s="61"/>
      <c r="X5" s="54"/>
      <c r="Y5" s="54"/>
      <c r="Z5" s="92"/>
      <c r="AA5" s="92"/>
      <c r="AB5" s="92"/>
      <c r="AC5" s="92"/>
      <c r="AD5" s="92"/>
      <c r="AE5" s="92"/>
      <c r="AF5" s="92"/>
      <c r="AG5" s="92"/>
      <c r="AH5" s="92"/>
      <c r="AI5" s="92"/>
      <c r="AJ5" s="92"/>
      <c r="AK5" s="92"/>
      <c r="AL5" s="92"/>
      <c r="AM5" s="92"/>
      <c r="AN5" s="92"/>
      <c r="AO5" s="92"/>
      <c r="AP5" s="92"/>
      <c r="AQ5" s="92"/>
      <c r="AR5" s="92"/>
      <c r="AS5" s="92"/>
      <c r="AT5" s="92"/>
      <c r="AU5" s="92"/>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row>
    <row r="6" spans="1:124" ht="6" customHeight="1">
      <c r="A6" s="45"/>
      <c r="B6" s="62"/>
      <c r="C6" s="69"/>
      <c r="D6" s="70"/>
      <c r="E6" s="71"/>
      <c r="F6" s="71"/>
      <c r="G6" s="71"/>
      <c r="H6" s="71"/>
      <c r="I6" s="71"/>
      <c r="J6" s="71"/>
      <c r="K6" s="71"/>
      <c r="L6" s="71"/>
      <c r="M6" s="71"/>
      <c r="N6" s="71"/>
      <c r="O6" s="71"/>
      <c r="P6" s="71"/>
      <c r="Q6" s="71"/>
      <c r="R6" s="71"/>
      <c r="S6" s="72"/>
      <c r="T6" s="71"/>
      <c r="U6" s="71"/>
      <c r="V6" s="73"/>
      <c r="W6" s="63"/>
      <c r="X6" s="92"/>
      <c r="Y6" s="92"/>
      <c r="Z6" s="92"/>
      <c r="AA6" s="92"/>
      <c r="AB6" s="92"/>
      <c r="AC6" s="92"/>
      <c r="AD6" s="92"/>
      <c r="AE6" s="92"/>
      <c r="AF6" s="92"/>
      <c r="AG6" s="92"/>
      <c r="AH6" s="92"/>
      <c r="AI6" s="92"/>
      <c r="AJ6" s="92"/>
      <c r="AK6" s="92"/>
      <c r="AL6" s="92"/>
      <c r="AM6" s="92"/>
      <c r="AN6" s="92"/>
      <c r="AO6" s="92"/>
      <c r="AP6" s="92"/>
      <c r="AQ6" s="92"/>
      <c r="AR6" s="92"/>
      <c r="AS6" s="92"/>
      <c r="AT6" s="92"/>
      <c r="AU6" s="92"/>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row>
    <row r="7" spans="1:103" ht="43.5" customHeight="1">
      <c r="A7" s="45"/>
      <c r="B7" s="62"/>
      <c r="C7" s="74"/>
      <c r="D7" s="50"/>
      <c r="E7" s="84"/>
      <c r="F7" s="85" t="str">
        <f>'W1'!D8&amp;" (W1,1)"</f>
        <v>Precipitation                               (W1,1)</v>
      </c>
      <c r="G7" s="85" t="str">
        <f>'W1'!D9&amp;" (W1,2)"</f>
        <v>Actual evapotranspiration (W1,2)</v>
      </c>
      <c r="H7" s="84"/>
      <c r="I7" s="84"/>
      <c r="J7" s="84"/>
      <c r="K7" s="84"/>
      <c r="L7" s="84"/>
      <c r="M7" s="84"/>
      <c r="N7" s="84"/>
      <c r="O7" s="84"/>
      <c r="P7" s="84"/>
      <c r="Q7" s="84"/>
      <c r="R7" s="84"/>
      <c r="S7" s="84"/>
      <c r="T7" s="84"/>
      <c r="U7" s="84"/>
      <c r="V7" s="75"/>
      <c r="W7" s="63"/>
      <c r="X7" s="92"/>
      <c r="Y7" s="92"/>
      <c r="Z7" s="92"/>
      <c r="AA7" s="92"/>
      <c r="AB7" s="92"/>
      <c r="AC7" s="92"/>
      <c r="AD7" s="92"/>
      <c r="AE7" s="92"/>
      <c r="AF7" s="92"/>
      <c r="AG7" s="92"/>
      <c r="AH7" s="92"/>
      <c r="AI7" s="92"/>
      <c r="AJ7" s="92"/>
      <c r="AK7" s="92"/>
      <c r="AL7" s="92"/>
      <c r="AM7" s="92"/>
      <c r="AN7" s="92"/>
      <c r="AO7" s="92"/>
      <c r="AP7" s="92"/>
      <c r="AQ7" s="92"/>
      <c r="AR7" s="92"/>
      <c r="AS7" s="92"/>
      <c r="AT7" s="92"/>
      <c r="AU7" s="92"/>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row>
    <row r="8" spans="1:103" ht="12.75">
      <c r="A8" s="45"/>
      <c r="B8" s="62"/>
      <c r="C8" s="74"/>
      <c r="D8" s="86"/>
      <c r="E8" s="84"/>
      <c r="F8" s="87"/>
      <c r="G8" s="87"/>
      <c r="H8" s="84"/>
      <c r="I8" s="84"/>
      <c r="J8" s="84"/>
      <c r="K8" s="84"/>
      <c r="L8" s="84"/>
      <c r="M8" s="84"/>
      <c r="N8" s="84"/>
      <c r="O8" s="84"/>
      <c r="P8" s="84"/>
      <c r="Q8" s="84"/>
      <c r="R8" s="84"/>
      <c r="S8" s="84"/>
      <c r="T8" s="84"/>
      <c r="U8" s="84"/>
      <c r="V8" s="75"/>
      <c r="W8" s="63"/>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row>
    <row r="9" spans="1:103" ht="6" customHeight="1">
      <c r="A9" s="45"/>
      <c r="B9" s="62"/>
      <c r="C9" s="74"/>
      <c r="D9" s="50"/>
      <c r="E9" s="84"/>
      <c r="F9" s="84"/>
      <c r="G9" s="84"/>
      <c r="H9" s="84"/>
      <c r="I9" s="84"/>
      <c r="J9" s="84"/>
      <c r="K9" s="84"/>
      <c r="L9" s="84"/>
      <c r="M9" s="84"/>
      <c r="N9" s="84"/>
      <c r="O9" s="84"/>
      <c r="P9" s="84"/>
      <c r="Q9" s="84"/>
      <c r="R9" s="84"/>
      <c r="S9" s="84"/>
      <c r="T9" s="84"/>
      <c r="U9" s="84"/>
      <c r="V9" s="75"/>
      <c r="W9" s="63"/>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row>
    <row r="10" spans="1:103" ht="27" customHeight="1">
      <c r="A10" s="45"/>
      <c r="B10" s="62"/>
      <c r="C10" s="74"/>
      <c r="D10" s="50"/>
      <c r="E10" s="84"/>
      <c r="F10" s="751" t="str">
        <f>LEFT('W1'!D10,LEN('W1'!D10)-7)&amp;" (W1,3)"</f>
        <v>Internal flow (W1,3)</v>
      </c>
      <c r="G10" s="752"/>
      <c r="H10" s="84"/>
      <c r="J10" s="84"/>
      <c r="K10" s="84"/>
      <c r="L10" s="84"/>
      <c r="M10" s="84"/>
      <c r="N10" s="84"/>
      <c r="O10" s="84"/>
      <c r="P10" s="84"/>
      <c r="Q10" s="729" t="s">
        <v>77</v>
      </c>
      <c r="R10" s="745" t="s">
        <v>82</v>
      </c>
      <c r="S10" s="746"/>
      <c r="T10" s="84"/>
      <c r="U10" s="84"/>
      <c r="V10" s="75"/>
      <c r="W10" s="63"/>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row>
    <row r="11" spans="1:103" s="48" customFormat="1" ht="30" customHeight="1">
      <c r="A11" s="45"/>
      <c r="B11" s="62"/>
      <c r="C11" s="74"/>
      <c r="D11" s="50"/>
      <c r="E11" s="87"/>
      <c r="F11" s="87"/>
      <c r="G11" s="87"/>
      <c r="H11" s="87"/>
      <c r="I11" s="731" t="str">
        <f>'W1'!D13&amp;" (W1,6)"</f>
        <v>Outflow of surface and groundwaters to neighbouring countries (W1,6)</v>
      </c>
      <c r="J11" s="732"/>
      <c r="K11" s="84"/>
      <c r="L11" s="87"/>
      <c r="M11" s="87"/>
      <c r="N11" s="87"/>
      <c r="O11" s="84"/>
      <c r="P11" s="84"/>
      <c r="Q11" s="730"/>
      <c r="R11" s="747"/>
      <c r="S11" s="748"/>
      <c r="T11" s="84"/>
      <c r="U11" s="84"/>
      <c r="V11" s="75"/>
      <c r="W11" s="63"/>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row>
    <row r="12" spans="1:103" ht="46.5" customHeight="1">
      <c r="A12" s="45"/>
      <c r="B12" s="62"/>
      <c r="C12" s="74"/>
      <c r="D12" s="85" t="str">
        <f>'W1'!D11&amp;" (W1,4)"</f>
        <v>Inflow of surface and groundwaters from neighbouring countries (W1,4)</v>
      </c>
      <c r="E12" s="84"/>
      <c r="F12" s="110" t="str">
        <f>LEFT('W1'!D12,LEN('W1'!D12)-7)&amp;" (W1,5)"</f>
        <v>Renewable freshwater resources (W1,5)</v>
      </c>
      <c r="G12" s="84"/>
      <c r="J12" s="84"/>
      <c r="K12" s="84"/>
      <c r="L12" s="84"/>
      <c r="M12" s="84"/>
      <c r="N12" s="84"/>
      <c r="O12" s="84"/>
      <c r="P12" s="84"/>
      <c r="Q12" s="84"/>
      <c r="R12" s="84"/>
      <c r="S12" s="52"/>
      <c r="T12" s="84"/>
      <c r="U12" s="84"/>
      <c r="V12" s="75"/>
      <c r="W12" s="63"/>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row>
    <row r="13" spans="1:103" ht="24.75" customHeight="1">
      <c r="A13" s="45"/>
      <c r="B13" s="62"/>
      <c r="C13" s="74"/>
      <c r="D13" s="50"/>
      <c r="E13" s="84"/>
      <c r="F13" s="84"/>
      <c r="G13" s="84"/>
      <c r="H13" s="84"/>
      <c r="I13" s="731" t="str">
        <f>'W1'!D16&amp;" (W1,9)"</f>
        <v>Outflow of surface and groundwaters to the sea (W1,9)</v>
      </c>
      <c r="J13" s="732"/>
      <c r="K13" s="84"/>
      <c r="L13" s="84"/>
      <c r="M13" s="84"/>
      <c r="N13" s="84"/>
      <c r="O13" s="84"/>
      <c r="P13" s="84"/>
      <c r="Q13" s="84"/>
      <c r="R13" s="84"/>
      <c r="S13" s="84"/>
      <c r="T13" s="84"/>
      <c r="U13" s="84"/>
      <c r="V13" s="75"/>
      <c r="W13" s="63"/>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row>
    <row r="14" spans="1:103" ht="9.75" customHeight="1">
      <c r="A14" s="45"/>
      <c r="B14" s="62"/>
      <c r="C14" s="74"/>
      <c r="D14" s="50"/>
      <c r="E14" s="84"/>
      <c r="F14" s="84"/>
      <c r="G14" s="84"/>
      <c r="H14" s="84"/>
      <c r="I14" s="84"/>
      <c r="J14" s="84"/>
      <c r="K14" s="84"/>
      <c r="L14" s="84"/>
      <c r="M14" s="84"/>
      <c r="N14" s="84"/>
      <c r="O14" s="84"/>
      <c r="P14" s="84"/>
      <c r="Q14" s="84"/>
      <c r="R14" s="84"/>
      <c r="S14" s="84"/>
      <c r="T14" s="84"/>
      <c r="U14" s="84"/>
      <c r="V14" s="75"/>
      <c r="W14" s="63"/>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row>
    <row r="15" spans="1:103" ht="12.75">
      <c r="A15" s="45"/>
      <c r="B15" s="62"/>
      <c r="C15" s="74"/>
      <c r="D15" s="733" t="str">
        <f>'W2'!D11</f>
        <v>of which abstracted by:</v>
      </c>
      <c r="E15" s="734"/>
      <c r="F15" s="734"/>
      <c r="G15" s="734"/>
      <c r="H15" s="734"/>
      <c r="I15" s="734"/>
      <c r="J15" s="734"/>
      <c r="K15" s="735"/>
      <c r="L15" s="84"/>
      <c r="M15" s="84"/>
      <c r="N15" s="84"/>
      <c r="O15" s="84"/>
      <c r="P15" s="84"/>
      <c r="Q15" s="84"/>
      <c r="R15" s="84"/>
      <c r="S15" s="84"/>
      <c r="T15" s="84"/>
      <c r="U15" s="84"/>
      <c r="V15" s="75"/>
      <c r="W15" s="63"/>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row>
    <row r="16" spans="1:103" ht="27.75" customHeight="1">
      <c r="A16" s="45"/>
      <c r="B16" s="62"/>
      <c r="C16" s="74"/>
      <c r="D16" s="84"/>
      <c r="E16" s="84"/>
      <c r="F16" s="84"/>
      <c r="G16" s="84"/>
      <c r="H16" s="84"/>
      <c r="I16" s="84"/>
      <c r="J16" s="84"/>
      <c r="K16" s="84"/>
      <c r="L16" s="84"/>
      <c r="M16" s="84"/>
      <c r="N16" s="84"/>
      <c r="O16" s="84"/>
      <c r="P16" s="84"/>
      <c r="Q16" s="84"/>
      <c r="R16" s="84"/>
      <c r="S16" s="84"/>
      <c r="T16" s="84"/>
      <c r="U16" s="84"/>
      <c r="V16" s="75"/>
      <c r="W16" s="63"/>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row>
    <row r="17" spans="1:103" s="49" customFormat="1" ht="86.25" customHeight="1">
      <c r="A17" s="45"/>
      <c r="B17" s="62"/>
      <c r="C17" s="74"/>
      <c r="D17" s="88" t="str">
        <f>LEFT('W2'!D12,LEN('W2'!D12)-8)&amp;"W2,4)"</f>
        <v>Water supply industry (W2,4)</v>
      </c>
      <c r="E17" s="88" t="str">
        <f>LEFT('W2'!D13,LEN('W2'!D13))&amp;"(W2,5)"</f>
        <v>Households (W2,5)</v>
      </c>
      <c r="F17" s="88" t="str">
        <f>LEFT('W2'!D14,LEN('W2'!D14))&amp;" (W2,6)"</f>
        <v>Agriculture, forestry and fishing (ISIC 01-03) (W2,6)</v>
      </c>
      <c r="G17" s="88" t="str">
        <f>LEFT('W2'!D16,LEN('W2'!D16))&amp;" (W2, 8)"</f>
        <v>Mining and quarrying (ISIC 05-09) (W2, 8)</v>
      </c>
      <c r="H17" s="88" t="str">
        <f>LEFT('W2'!D17,LEN('W2'!D17))&amp;" (W2, 9)"</f>
        <v>Manufacturing (ISIC 10-33) (W2, 9)</v>
      </c>
      <c r="I17" s="88" t="str">
        <f>LEFT('W2'!D18,LEN('W2'!D18))&amp;" (W2,10)"</f>
        <v>Electricity, gas, steam and air conditioning supply  (ISIC 35) (W2,10)</v>
      </c>
      <c r="J17" s="88" t="str">
        <f>LEFT('W2'!D20,LEN('W2'!D20))&amp;" (W2,12)"</f>
        <v>Construction (ISIC 41-43) (W2,12)</v>
      </c>
      <c r="K17" s="88" t="str">
        <f>LEFT('W2'!D21,LEN('W2'!D21))&amp;" (W2,13)"</f>
        <v>Other economic activities (W2,13)</v>
      </c>
      <c r="L17" s="50"/>
      <c r="M17" s="50"/>
      <c r="N17" s="50"/>
      <c r="O17" s="50"/>
      <c r="P17" s="50"/>
      <c r="Q17" s="39"/>
      <c r="R17" s="50"/>
      <c r="S17" s="84"/>
      <c r="T17" s="84"/>
      <c r="U17" s="84"/>
      <c r="V17" s="75"/>
      <c r="W17" s="63"/>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row>
    <row r="18" spans="1:103" s="48" customFormat="1" ht="13.5" customHeight="1">
      <c r="A18" s="45"/>
      <c r="B18" s="62"/>
      <c r="C18" s="74"/>
      <c r="D18" s="50"/>
      <c r="E18" s="87"/>
      <c r="F18" s="87"/>
      <c r="G18" s="87"/>
      <c r="H18" s="87"/>
      <c r="I18" s="87"/>
      <c r="J18" s="87"/>
      <c r="K18" s="87"/>
      <c r="L18" s="87"/>
      <c r="M18" s="87"/>
      <c r="N18" s="87"/>
      <c r="O18" s="87"/>
      <c r="P18" s="87"/>
      <c r="Q18" s="87"/>
      <c r="R18" s="87"/>
      <c r="S18" s="84"/>
      <c r="T18" s="84"/>
      <c r="U18" s="84"/>
      <c r="V18" s="75"/>
      <c r="W18" s="63"/>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row>
    <row r="19" spans="1:103" ht="45" customHeight="1">
      <c r="A19" s="45"/>
      <c r="B19" s="62"/>
      <c r="C19" s="74"/>
      <c r="D19" s="736" t="str">
        <f>LEFT('W2'!D10,LEN('W2'!D10)-7)&amp;" (W2,3)"</f>
        <v>Freshwater abstracted (W2,3)</v>
      </c>
      <c r="E19" s="737"/>
      <c r="F19" s="737"/>
      <c r="G19" s="737"/>
      <c r="H19" s="737"/>
      <c r="I19" s="737"/>
      <c r="J19" s="737"/>
      <c r="K19" s="738"/>
      <c r="L19" s="84"/>
      <c r="M19" s="84"/>
      <c r="N19" s="84"/>
      <c r="O19" s="39"/>
      <c r="P19" s="84"/>
      <c r="Q19" s="84"/>
      <c r="R19" s="84"/>
      <c r="S19" s="84"/>
      <c r="T19" s="84"/>
      <c r="U19" s="88" t="str">
        <f>'W2'!D30&amp;" (W2,21)"</f>
        <v>    Households  (W2,21)</v>
      </c>
      <c r="V19" s="76"/>
      <c r="W19" s="63"/>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row>
    <row r="20" spans="1:103" ht="10.5" customHeight="1">
      <c r="A20" s="45"/>
      <c r="B20" s="62"/>
      <c r="C20" s="74"/>
      <c r="D20" s="39"/>
      <c r="E20" s="39"/>
      <c r="F20" s="39"/>
      <c r="G20" s="39"/>
      <c r="H20" s="39"/>
      <c r="I20" s="39"/>
      <c r="J20" s="84"/>
      <c r="K20" s="84"/>
      <c r="L20" s="84"/>
      <c r="M20" s="84"/>
      <c r="N20" s="84"/>
      <c r="O20" s="39"/>
      <c r="P20" s="84"/>
      <c r="Q20" s="84"/>
      <c r="R20" s="84"/>
      <c r="S20" s="84"/>
      <c r="T20" s="84"/>
      <c r="U20" s="111"/>
      <c r="V20" s="76"/>
      <c r="W20" s="63"/>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row>
    <row r="21" spans="1:103" ht="45" customHeight="1">
      <c r="A21" s="45"/>
      <c r="B21" s="62"/>
      <c r="C21" s="74"/>
      <c r="D21" s="39"/>
      <c r="E21" s="39"/>
      <c r="F21" s="39"/>
      <c r="G21" s="39"/>
      <c r="J21" s="727" t="str">
        <f>'W2'!D22&amp;" (W2,14)"</f>
        <v>Desalinated water (W2,14)</v>
      </c>
      <c r="K21" s="728"/>
      <c r="M21" s="84"/>
      <c r="N21" s="84"/>
      <c r="O21" s="39"/>
      <c r="P21" s="84"/>
      <c r="Q21" s="84"/>
      <c r="R21" s="84"/>
      <c r="S21" s="84"/>
      <c r="T21" s="84"/>
      <c r="U21" s="88" t="str">
        <f>'W2'!D31&amp;" (W2,22)"</f>
        <v>Agriculture, forestry and fishing (ISIC 01-03) (W2,22)</v>
      </c>
      <c r="V21" s="76"/>
      <c r="W21" s="63"/>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row>
    <row r="22" spans="1:103" ht="9.75" customHeight="1">
      <c r="A22" s="45"/>
      <c r="B22" s="62"/>
      <c r="C22" s="74"/>
      <c r="D22" s="50"/>
      <c r="E22" s="84"/>
      <c r="F22" s="84"/>
      <c r="G22" s="84"/>
      <c r="J22" s="84"/>
      <c r="K22" s="84"/>
      <c r="L22" s="84"/>
      <c r="M22" s="84"/>
      <c r="N22" s="84"/>
      <c r="O22" s="743" t="str">
        <f>LEFT('W2'!D26,LEN('W2'!D26)-17)&amp;" (W2,18)"</f>
        <v>Total freshwater available for use (W2,18)</v>
      </c>
      <c r="P22" s="84"/>
      <c r="Q22" s="743" t="str">
        <f>LEFT('W2'!D28,LEN('W2'!D28)-9)&amp;" (W2,20)"</f>
        <v>Total freshwater use (W2,20)</v>
      </c>
      <c r="R22" s="84"/>
      <c r="S22" s="84"/>
      <c r="T22" s="84"/>
      <c r="U22" s="84"/>
      <c r="V22" s="75"/>
      <c r="W22" s="63"/>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row>
    <row r="23" spans="1:103" ht="46.5" customHeight="1">
      <c r="A23" s="45"/>
      <c r="B23" s="62"/>
      <c r="C23" s="74"/>
      <c r="D23" s="50"/>
      <c r="E23" s="84"/>
      <c r="F23" s="84"/>
      <c r="G23" s="84"/>
      <c r="J23" s="727" t="str">
        <f>'W2'!D23&amp;" (W2,15)"</f>
        <v>Reused water (W2,15)</v>
      </c>
      <c r="K23" s="728"/>
      <c r="L23" s="84"/>
      <c r="M23" s="39"/>
      <c r="N23" s="84"/>
      <c r="O23" s="744"/>
      <c r="P23" s="84"/>
      <c r="Q23" s="744"/>
      <c r="R23" s="741" t="str">
        <f>'W2'!D29</f>
        <v>of which used by:</v>
      </c>
      <c r="S23" s="742"/>
      <c r="T23" s="112"/>
      <c r="U23" s="88" t="str">
        <f>'W2'!D33&amp;" (W2,24)"</f>
        <v>Mining and quarrying (ISIC 05-09) (W2,24)</v>
      </c>
      <c r="V23" s="75"/>
      <c r="W23" s="63"/>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row>
    <row r="24" spans="1:103" ht="8.25" customHeight="1">
      <c r="A24" s="45"/>
      <c r="B24" s="62"/>
      <c r="C24" s="74"/>
      <c r="D24" s="84"/>
      <c r="E24" s="84"/>
      <c r="F24" s="84"/>
      <c r="G24" s="84"/>
      <c r="J24" s="84"/>
      <c r="K24" s="84"/>
      <c r="L24" s="84"/>
      <c r="M24" s="84"/>
      <c r="N24" s="84"/>
      <c r="O24" s="84"/>
      <c r="P24" s="84"/>
      <c r="Q24" s="84"/>
      <c r="R24" s="84"/>
      <c r="S24" s="84"/>
      <c r="T24" s="84"/>
      <c r="U24" s="84"/>
      <c r="V24" s="75"/>
      <c r="W24" s="63"/>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row>
    <row r="25" spans="1:103" ht="41.25" customHeight="1">
      <c r="A25" s="45"/>
      <c r="B25" s="62"/>
      <c r="C25" s="74"/>
      <c r="G25" s="113"/>
      <c r="J25" s="727" t="str">
        <f>'W2'!D24&amp;" - "&amp;'W2'!D25&amp;" (= W2,16 - W2,17)"</f>
        <v>Imports of water - Exports of water (= W2,16 - W2,17)</v>
      </c>
      <c r="K25" s="728"/>
      <c r="L25" s="84"/>
      <c r="M25" s="84"/>
      <c r="N25" s="84"/>
      <c r="O25" s="39"/>
      <c r="P25" s="84"/>
      <c r="Q25" s="84"/>
      <c r="R25" s="84"/>
      <c r="S25" s="84"/>
      <c r="T25" s="84"/>
      <c r="U25" s="88" t="str">
        <f>'W2'!D34&amp;" (W2,25)"</f>
        <v>Manufacturing (ISIC 10-33) (W2,25)</v>
      </c>
      <c r="V25" s="75"/>
      <c r="W25" s="63"/>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row>
    <row r="26" spans="1:103" ht="13.5" customHeight="1">
      <c r="A26" s="45"/>
      <c r="B26" s="62"/>
      <c r="C26" s="74"/>
      <c r="D26" s="89"/>
      <c r="G26" s="89"/>
      <c r="H26" s="84"/>
      <c r="I26" s="84"/>
      <c r="J26" s="84"/>
      <c r="K26" s="84"/>
      <c r="L26" s="84"/>
      <c r="M26" s="84"/>
      <c r="N26" s="84"/>
      <c r="O26" s="84"/>
      <c r="P26" s="739" t="str">
        <f>'W2'!D27&amp;" (W2,19)"</f>
        <v>Losses during transport (W2,19)</v>
      </c>
      <c r="Q26" s="84"/>
      <c r="R26" s="84"/>
      <c r="S26" s="84"/>
      <c r="T26" s="84"/>
      <c r="U26" s="84"/>
      <c r="V26" s="75"/>
      <c r="W26" s="63"/>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row>
    <row r="27" spans="1:103" ht="44.25" customHeight="1">
      <c r="A27" s="45"/>
      <c r="B27" s="62"/>
      <c r="C27" s="74"/>
      <c r="D27" s="84"/>
      <c r="E27" s="84"/>
      <c r="F27" s="84"/>
      <c r="G27" s="84"/>
      <c r="H27" s="84"/>
      <c r="I27" s="84"/>
      <c r="J27" s="84"/>
      <c r="K27" s="84"/>
      <c r="L27" s="84"/>
      <c r="M27" s="84"/>
      <c r="N27" s="84"/>
      <c r="O27" s="39"/>
      <c r="P27" s="740"/>
      <c r="R27" s="39"/>
      <c r="S27" s="84"/>
      <c r="T27" s="84"/>
      <c r="U27" s="88" t="str">
        <f>'W2'!D35&amp;" (W2,26)"</f>
        <v>Electricity, gas, steam and air conditioning supply  (ISIC 35) (W2,26)</v>
      </c>
      <c r="V27" s="75"/>
      <c r="W27" s="63"/>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row>
    <row r="28" spans="1:103" ht="12.75">
      <c r="A28" s="45"/>
      <c r="B28" s="62"/>
      <c r="C28" s="74"/>
      <c r="D28" s="84"/>
      <c r="E28" s="84"/>
      <c r="F28" s="84"/>
      <c r="G28" s="84"/>
      <c r="H28" s="84"/>
      <c r="I28" s="84"/>
      <c r="J28" s="84"/>
      <c r="K28" s="84"/>
      <c r="L28" s="84"/>
      <c r="M28" s="84"/>
      <c r="N28" s="84"/>
      <c r="O28" s="84"/>
      <c r="P28" s="84"/>
      <c r="Q28" s="84"/>
      <c r="R28" s="84"/>
      <c r="S28" s="84"/>
      <c r="T28" s="84"/>
      <c r="U28" s="84"/>
      <c r="V28" s="75"/>
      <c r="W28" s="63"/>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row>
    <row r="29" spans="1:103" ht="33" customHeight="1">
      <c r="A29" s="45"/>
      <c r="B29" s="62"/>
      <c r="C29" s="74"/>
      <c r="D29" s="84"/>
      <c r="E29" s="84"/>
      <c r="F29" s="84"/>
      <c r="G29" s="84"/>
      <c r="H29" s="84"/>
      <c r="I29" s="84"/>
      <c r="J29" s="84"/>
      <c r="K29" s="84"/>
      <c r="L29" s="84"/>
      <c r="M29" s="84"/>
      <c r="N29" s="84"/>
      <c r="O29" s="84"/>
      <c r="P29" s="84"/>
      <c r="Q29" s="84"/>
      <c r="R29" s="84"/>
      <c r="S29" s="84"/>
      <c r="T29" s="84"/>
      <c r="U29" s="88" t="str">
        <f>'W2'!D37&amp;" (W2,28)"</f>
        <v>Construction (ISIC 41-43) (W2,28)</v>
      </c>
      <c r="V29" s="75"/>
      <c r="W29" s="63"/>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row>
    <row r="30" spans="1:103" ht="8.25" customHeight="1">
      <c r="A30" s="45"/>
      <c r="B30" s="62"/>
      <c r="C30" s="74"/>
      <c r="D30" s="84"/>
      <c r="E30" s="84"/>
      <c r="F30" s="84"/>
      <c r="G30" s="84"/>
      <c r="H30" s="84"/>
      <c r="I30" s="84"/>
      <c r="J30" s="84"/>
      <c r="K30" s="84"/>
      <c r="L30" s="84"/>
      <c r="M30" s="84"/>
      <c r="N30" s="84"/>
      <c r="O30" s="84"/>
      <c r="P30" s="84"/>
      <c r="Q30" s="84"/>
      <c r="R30" s="84"/>
      <c r="S30" s="84"/>
      <c r="T30" s="84"/>
      <c r="U30" s="84"/>
      <c r="V30" s="75"/>
      <c r="W30" s="63"/>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row>
    <row r="31" spans="1:103" ht="33" customHeight="1">
      <c r="A31" s="45"/>
      <c r="B31" s="62"/>
      <c r="C31" s="74"/>
      <c r="D31" s="84"/>
      <c r="E31" s="84"/>
      <c r="F31" s="84"/>
      <c r="G31" s="84"/>
      <c r="H31" s="84"/>
      <c r="I31" s="84"/>
      <c r="J31" s="84"/>
      <c r="K31" s="84"/>
      <c r="L31" s="84"/>
      <c r="M31" s="84"/>
      <c r="N31" s="84"/>
      <c r="O31" s="84"/>
      <c r="P31" s="84"/>
      <c r="Q31" s="84"/>
      <c r="R31" s="84"/>
      <c r="S31" s="84"/>
      <c r="T31" s="84"/>
      <c r="U31" s="88" t="str">
        <f>'W2'!D38&amp;" (W2,29)"</f>
        <v>Other economic activities (W2,29)</v>
      </c>
      <c r="V31" s="75"/>
      <c r="W31" s="63"/>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row>
    <row r="32" spans="1:103" ht="3.75" customHeight="1">
      <c r="A32" s="45"/>
      <c r="B32" s="62"/>
      <c r="C32" s="77"/>
      <c r="D32" s="78"/>
      <c r="E32" s="78"/>
      <c r="F32" s="78"/>
      <c r="G32" s="78"/>
      <c r="H32" s="78"/>
      <c r="I32" s="78"/>
      <c r="J32" s="78"/>
      <c r="K32" s="78"/>
      <c r="L32" s="78"/>
      <c r="M32" s="78"/>
      <c r="N32" s="78"/>
      <c r="O32" s="78"/>
      <c r="P32" s="78"/>
      <c r="Q32" s="78"/>
      <c r="R32" s="78"/>
      <c r="S32" s="78"/>
      <c r="T32" s="78"/>
      <c r="U32" s="78"/>
      <c r="V32" s="79"/>
      <c r="W32" s="63"/>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row>
    <row r="33" spans="1:103" ht="13.5" customHeight="1" thickBot="1">
      <c r="A33" s="45"/>
      <c r="B33" s="64"/>
      <c r="C33" s="68"/>
      <c r="D33" s="65"/>
      <c r="E33" s="65"/>
      <c r="F33" s="65"/>
      <c r="G33" s="65"/>
      <c r="H33" s="65"/>
      <c r="I33" s="65"/>
      <c r="J33" s="65"/>
      <c r="K33" s="65"/>
      <c r="L33" s="65"/>
      <c r="M33" s="65"/>
      <c r="N33" s="65"/>
      <c r="O33" s="65"/>
      <c r="P33" s="65"/>
      <c r="Q33" s="65"/>
      <c r="R33" s="65"/>
      <c r="S33" s="65"/>
      <c r="T33" s="65"/>
      <c r="U33" s="65"/>
      <c r="V33" s="65"/>
      <c r="W33" s="66"/>
      <c r="X33" s="43"/>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row>
    <row r="34" spans="1:124" ht="12.75">
      <c r="A34" s="45"/>
      <c r="B34" s="45"/>
      <c r="C34" s="45"/>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row>
    <row r="35" spans="1:124" ht="6" customHeight="1">
      <c r="A35" s="45"/>
      <c r="B35" s="45"/>
      <c r="C35" s="45"/>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row>
    <row r="36" spans="1:124" ht="12.75">
      <c r="A36" s="45"/>
      <c r="B36" s="45"/>
      <c r="C36" s="45"/>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row>
    <row r="37" spans="1:124" ht="4.5" customHeight="1">
      <c r="A37" s="45"/>
      <c r="B37" s="45"/>
      <c r="C37" s="45"/>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row>
    <row r="38" spans="1:124" ht="12.75">
      <c r="A38" s="45"/>
      <c r="B38" s="45"/>
      <c r="C38" s="45"/>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row>
    <row r="39" spans="1:124" ht="5.25" customHeight="1">
      <c r="A39" s="45"/>
      <c r="B39" s="45"/>
      <c r="C39" s="45"/>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row>
    <row r="40" spans="1:124" ht="12.75">
      <c r="A40" s="45"/>
      <c r="B40" s="45"/>
      <c r="C40" s="45"/>
      <c r="D40" s="43"/>
      <c r="E40" s="43"/>
      <c r="F40" s="43"/>
      <c r="G40" s="43"/>
      <c r="H40" s="43"/>
      <c r="I40" s="43"/>
      <c r="J40" s="43"/>
      <c r="K40" s="43"/>
      <c r="L40" s="43"/>
      <c r="M40" s="43"/>
      <c r="N40" s="43"/>
      <c r="O40" s="43"/>
      <c r="P40" s="43"/>
      <c r="Q40" s="43"/>
      <c r="R40" s="43"/>
      <c r="S40" s="45"/>
      <c r="T40" s="45"/>
      <c r="U40" s="45"/>
      <c r="V40" s="45"/>
      <c r="W40" s="45"/>
      <c r="X40" s="43"/>
      <c r="Y40" s="43"/>
      <c r="Z40" s="43"/>
      <c r="AA40" s="43"/>
      <c r="AB40" s="43"/>
      <c r="AC40" s="43"/>
      <c r="AD40" s="43"/>
      <c r="AE40" s="43"/>
      <c r="AF40" s="43"/>
      <c r="AG40" s="43"/>
      <c r="AH40" s="43"/>
      <c r="AI40" s="43"/>
      <c r="AJ40" s="43"/>
      <c r="AK40" s="43"/>
      <c r="AL40" s="43"/>
      <c r="AM40" s="43"/>
      <c r="AN40" s="43"/>
      <c r="AO40" s="43"/>
      <c r="AP40" s="43"/>
      <c r="AQ40" s="43"/>
      <c r="AR40" s="43"/>
      <c r="AS40" s="43"/>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row>
    <row r="41" spans="1:124" ht="12.75">
      <c r="A41" s="45"/>
      <c r="B41" s="45"/>
      <c r="C41" s="45"/>
      <c r="D41" s="43"/>
      <c r="E41" s="43"/>
      <c r="F41" s="43"/>
      <c r="G41" s="43"/>
      <c r="H41" s="43"/>
      <c r="I41" s="43"/>
      <c r="J41" s="43"/>
      <c r="K41" s="43"/>
      <c r="L41" s="43"/>
      <c r="M41" s="43"/>
      <c r="N41" s="43"/>
      <c r="O41" s="43"/>
      <c r="P41" s="43"/>
      <c r="Q41" s="43"/>
      <c r="R41" s="43"/>
      <c r="S41" s="45"/>
      <c r="T41" s="45"/>
      <c r="U41" s="45"/>
      <c r="V41" s="45"/>
      <c r="W41" s="45"/>
      <c r="X41" s="43"/>
      <c r="Y41" s="43"/>
      <c r="Z41" s="43"/>
      <c r="AA41" s="43"/>
      <c r="AB41" s="43"/>
      <c r="AC41" s="43"/>
      <c r="AD41" s="43"/>
      <c r="AE41" s="43"/>
      <c r="AF41" s="43"/>
      <c r="AG41" s="43"/>
      <c r="AH41" s="43"/>
      <c r="AI41" s="43"/>
      <c r="AJ41" s="43"/>
      <c r="AK41" s="43"/>
      <c r="AL41" s="43"/>
      <c r="AM41" s="43"/>
      <c r="AN41" s="43"/>
      <c r="AO41" s="43"/>
      <c r="AP41" s="43"/>
      <c r="AQ41" s="43"/>
      <c r="AR41" s="43"/>
      <c r="AS41" s="43"/>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row>
    <row r="42" spans="1:124" ht="12.75">
      <c r="A42" s="45"/>
      <c r="B42" s="45"/>
      <c r="C42" s="45"/>
      <c r="D42" s="43"/>
      <c r="E42" s="43"/>
      <c r="F42" s="43"/>
      <c r="G42" s="43"/>
      <c r="H42" s="43"/>
      <c r="I42" s="43"/>
      <c r="J42" s="43"/>
      <c r="K42" s="43"/>
      <c r="L42" s="43"/>
      <c r="M42" s="43"/>
      <c r="N42" s="43"/>
      <c r="O42" s="43"/>
      <c r="P42" s="43"/>
      <c r="Q42" s="43"/>
      <c r="R42" s="43"/>
      <c r="S42" s="45"/>
      <c r="T42" s="45"/>
      <c r="U42" s="45"/>
      <c r="V42" s="45"/>
      <c r="W42" s="45"/>
      <c r="X42" s="43"/>
      <c r="Y42" s="43"/>
      <c r="Z42" s="43"/>
      <c r="AA42" s="43"/>
      <c r="AB42" s="43"/>
      <c r="AC42" s="43"/>
      <c r="AD42" s="43"/>
      <c r="AE42" s="43"/>
      <c r="AF42" s="43"/>
      <c r="AG42" s="43"/>
      <c r="AH42" s="43"/>
      <c r="AI42" s="43"/>
      <c r="AJ42" s="43"/>
      <c r="AK42" s="43"/>
      <c r="AL42" s="43"/>
      <c r="AM42" s="43"/>
      <c r="AN42" s="43"/>
      <c r="AO42" s="43"/>
      <c r="AP42" s="43"/>
      <c r="AQ42" s="43"/>
      <c r="AR42" s="43"/>
      <c r="AS42" s="43"/>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row>
    <row r="43" spans="1:124" ht="12.75">
      <c r="A43" s="45"/>
      <c r="B43" s="45"/>
      <c r="C43" s="45"/>
      <c r="D43" s="45"/>
      <c r="E43" s="45"/>
      <c r="F43" s="45"/>
      <c r="G43" s="45"/>
      <c r="H43" s="45"/>
      <c r="I43" s="45"/>
      <c r="J43" s="45"/>
      <c r="K43" s="45"/>
      <c r="L43" s="45"/>
      <c r="M43" s="45"/>
      <c r="N43" s="45"/>
      <c r="O43" s="45"/>
      <c r="P43" s="45"/>
      <c r="Q43" s="45"/>
      <c r="R43" s="45"/>
      <c r="S43" s="45"/>
      <c r="T43" s="45"/>
      <c r="U43" s="45"/>
      <c r="V43" s="45"/>
      <c r="W43" s="45"/>
      <c r="X43" s="43"/>
      <c r="Y43" s="43"/>
      <c r="Z43" s="43"/>
      <c r="AA43" s="43"/>
      <c r="AB43" s="43"/>
      <c r="AC43" s="43"/>
      <c r="AD43" s="43"/>
      <c r="AE43" s="43"/>
      <c r="AF43" s="43"/>
      <c r="AG43" s="43"/>
      <c r="AH43" s="43"/>
      <c r="AI43" s="43"/>
      <c r="AJ43" s="43"/>
      <c r="AK43" s="43"/>
      <c r="AL43" s="43"/>
      <c r="AM43" s="43"/>
      <c r="AN43" s="43"/>
      <c r="AO43" s="43"/>
      <c r="AP43" s="43"/>
      <c r="AQ43" s="43"/>
      <c r="AR43" s="43"/>
      <c r="AS43" s="43"/>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row>
    <row r="44" spans="1:124" ht="12.75">
      <c r="A44" s="45"/>
      <c r="B44" s="45"/>
      <c r="C44" s="45"/>
      <c r="D44" s="45"/>
      <c r="E44" s="45"/>
      <c r="F44" s="45"/>
      <c r="G44" s="45"/>
      <c r="H44" s="45"/>
      <c r="I44" s="45"/>
      <c r="J44" s="45"/>
      <c r="K44" s="45"/>
      <c r="L44" s="45"/>
      <c r="M44" s="45"/>
      <c r="N44" s="45"/>
      <c r="O44" s="45"/>
      <c r="P44" s="45"/>
      <c r="Q44" s="45"/>
      <c r="R44" s="45"/>
      <c r="S44" s="45"/>
      <c r="T44" s="45"/>
      <c r="U44" s="45"/>
      <c r="V44" s="45"/>
      <c r="W44" s="45"/>
      <c r="X44" s="43"/>
      <c r="Y44" s="43"/>
      <c r="Z44" s="43"/>
      <c r="AA44" s="43"/>
      <c r="AB44" s="43"/>
      <c r="AC44" s="43"/>
      <c r="AD44" s="43"/>
      <c r="AE44" s="43"/>
      <c r="AF44" s="43"/>
      <c r="AG44" s="43"/>
      <c r="AH44" s="43"/>
      <c r="AI44" s="43"/>
      <c r="AJ44" s="43"/>
      <c r="AK44" s="43"/>
      <c r="AL44" s="43"/>
      <c r="AM44" s="43"/>
      <c r="AN44" s="43"/>
      <c r="AO44" s="43"/>
      <c r="AP44" s="43"/>
      <c r="AQ44" s="43"/>
      <c r="AR44" s="43"/>
      <c r="AS44" s="43"/>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row>
    <row r="45" spans="1:124" ht="12.75">
      <c r="A45" s="45"/>
      <c r="B45" s="45"/>
      <c r="C45" s="45"/>
      <c r="D45" s="45"/>
      <c r="E45" s="45"/>
      <c r="F45" s="45"/>
      <c r="G45" s="45"/>
      <c r="H45" s="45"/>
      <c r="I45" s="45"/>
      <c r="J45" s="45"/>
      <c r="K45" s="45"/>
      <c r="L45" s="45"/>
      <c r="M45" s="45"/>
      <c r="N45" s="45"/>
      <c r="O45" s="45"/>
      <c r="P45" s="45"/>
      <c r="Q45" s="45"/>
      <c r="R45" s="45"/>
      <c r="S45" s="45"/>
      <c r="T45" s="45"/>
      <c r="U45" s="45"/>
      <c r="V45" s="45"/>
      <c r="W45" s="45"/>
      <c r="X45" s="43"/>
      <c r="Y45" s="43"/>
      <c r="Z45" s="43"/>
      <c r="AA45" s="43"/>
      <c r="AB45" s="43"/>
      <c r="AC45" s="43"/>
      <c r="AD45" s="43"/>
      <c r="AE45" s="43"/>
      <c r="AF45" s="43"/>
      <c r="AG45" s="43"/>
      <c r="AH45" s="43"/>
      <c r="AI45" s="43"/>
      <c r="AJ45" s="43"/>
      <c r="AK45" s="43"/>
      <c r="AL45" s="43"/>
      <c r="AM45" s="43"/>
      <c r="AN45" s="43"/>
      <c r="AO45" s="43"/>
      <c r="AP45" s="43"/>
      <c r="AQ45" s="43"/>
      <c r="AR45" s="43"/>
      <c r="AS45" s="43"/>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row>
    <row r="46" spans="1:124" ht="12.75">
      <c r="A46" s="45"/>
      <c r="B46" s="45"/>
      <c r="C46" s="45"/>
      <c r="D46" s="45"/>
      <c r="E46" s="45"/>
      <c r="F46" s="45"/>
      <c r="G46" s="45"/>
      <c r="H46" s="45"/>
      <c r="I46" s="45"/>
      <c r="J46" s="45"/>
      <c r="K46" s="45"/>
      <c r="L46" s="45"/>
      <c r="M46" s="45"/>
      <c r="N46" s="45"/>
      <c r="O46" s="45"/>
      <c r="P46" s="45"/>
      <c r="Q46" s="45"/>
      <c r="R46" s="45"/>
      <c r="S46" s="45"/>
      <c r="T46" s="45"/>
      <c r="U46" s="45"/>
      <c r="V46" s="45"/>
      <c r="W46" s="45"/>
      <c r="X46" s="43"/>
      <c r="Y46" s="43"/>
      <c r="Z46" s="43"/>
      <c r="AA46" s="43"/>
      <c r="AB46" s="43"/>
      <c r="AC46" s="43"/>
      <c r="AD46" s="43"/>
      <c r="AE46" s="43"/>
      <c r="AF46" s="43"/>
      <c r="AG46" s="43"/>
      <c r="AH46" s="43"/>
      <c r="AI46" s="43"/>
      <c r="AJ46" s="43"/>
      <c r="AK46" s="43"/>
      <c r="AL46" s="43"/>
      <c r="AM46" s="43"/>
      <c r="AN46" s="43"/>
      <c r="AO46" s="43"/>
      <c r="AP46" s="43"/>
      <c r="AQ46" s="43"/>
      <c r="AR46" s="43"/>
      <c r="AS46" s="43"/>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row>
    <row r="47" spans="1:124" ht="12.75">
      <c r="A47" s="45"/>
      <c r="B47" s="45"/>
      <c r="C47" s="45"/>
      <c r="D47" s="45"/>
      <c r="E47" s="45"/>
      <c r="F47" s="45"/>
      <c r="G47" s="45"/>
      <c r="H47" s="45"/>
      <c r="I47" s="45"/>
      <c r="J47" s="45"/>
      <c r="K47" s="45"/>
      <c r="L47" s="45"/>
      <c r="M47" s="45"/>
      <c r="N47" s="45"/>
      <c r="O47" s="45"/>
      <c r="P47" s="45"/>
      <c r="Q47" s="45"/>
      <c r="R47" s="45"/>
      <c r="S47" s="45"/>
      <c r="T47" s="45"/>
      <c r="U47" s="45"/>
      <c r="V47" s="45"/>
      <c r="W47" s="45"/>
      <c r="X47" s="43"/>
      <c r="Y47" s="43"/>
      <c r="Z47" s="43"/>
      <c r="AA47" s="43"/>
      <c r="AB47" s="43"/>
      <c r="AC47" s="43"/>
      <c r="AD47" s="43"/>
      <c r="AE47" s="43"/>
      <c r="AF47" s="43"/>
      <c r="AG47" s="43"/>
      <c r="AH47" s="43"/>
      <c r="AI47" s="43"/>
      <c r="AJ47" s="43"/>
      <c r="AK47" s="43"/>
      <c r="AL47" s="43"/>
      <c r="AM47" s="43"/>
      <c r="AN47" s="43"/>
      <c r="AO47" s="43"/>
      <c r="AP47" s="43"/>
      <c r="AQ47" s="43"/>
      <c r="AR47" s="43"/>
      <c r="AS47" s="43"/>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row>
    <row r="48" spans="1:12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3"/>
      <c r="Z48" s="43"/>
      <c r="AA48" s="43"/>
      <c r="AB48" s="43"/>
      <c r="AC48" s="43"/>
      <c r="AD48" s="43"/>
      <c r="AE48" s="43"/>
      <c r="AF48" s="43"/>
      <c r="AG48" s="43"/>
      <c r="AH48" s="43"/>
      <c r="AI48" s="43"/>
      <c r="AJ48" s="43"/>
      <c r="AK48" s="43"/>
      <c r="AL48" s="43"/>
      <c r="AM48" s="43"/>
      <c r="AN48" s="43"/>
      <c r="AO48" s="43"/>
      <c r="AP48" s="43"/>
      <c r="AQ48" s="43"/>
      <c r="AR48" s="43"/>
      <c r="AS48" s="43"/>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row>
    <row r="49" spans="1:12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row>
    <row r="50" spans="1:12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row>
    <row r="51" spans="1:12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row>
    <row r="52" spans="1:12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row>
    <row r="53" spans="1:12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row>
    <row r="54" spans="1:12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row>
    <row r="55" spans="1:12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row>
    <row r="56" spans="1:12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row>
    <row r="57" spans="1:12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row>
    <row r="58" spans="1:12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row>
    <row r="59" spans="1:12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row>
    <row r="60" spans="1:12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row>
    <row r="61" spans="1:12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row>
    <row r="62" spans="1:12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row>
    <row r="63" spans="1:12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row>
    <row r="64" spans="1:12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row>
    <row r="65" spans="1:12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row>
    <row r="66" spans="1:12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row>
    <row r="67" spans="1:45" ht="12.75">
      <c r="A67" s="45"/>
      <c r="B67" s="45"/>
      <c r="C67" s="45"/>
      <c r="D67" s="45"/>
      <c r="E67" s="45"/>
      <c r="F67" s="45"/>
      <c r="G67" s="45"/>
      <c r="H67" s="45"/>
      <c r="I67" s="45"/>
      <c r="J67" s="45"/>
      <c r="K67" s="45"/>
      <c r="L67" s="45"/>
      <c r="M67" s="45"/>
      <c r="N67" s="45"/>
      <c r="O67" s="45"/>
      <c r="P67" s="45"/>
      <c r="Q67" s="45"/>
      <c r="R67" s="45"/>
      <c r="S67" s="45"/>
      <c r="T67" s="45"/>
      <c r="U67" s="45"/>
      <c r="V67" s="45"/>
      <c r="W67" s="45"/>
      <c r="Y67" s="45"/>
      <c r="Z67" s="45"/>
      <c r="AA67" s="45"/>
      <c r="AB67" s="45"/>
      <c r="AC67" s="45"/>
      <c r="AD67" s="45"/>
      <c r="AE67" s="45"/>
      <c r="AF67" s="45"/>
      <c r="AG67" s="45"/>
      <c r="AH67" s="45"/>
      <c r="AI67" s="45"/>
      <c r="AJ67" s="45"/>
      <c r="AK67" s="45"/>
      <c r="AL67" s="45"/>
      <c r="AM67" s="45"/>
      <c r="AN67" s="45"/>
      <c r="AO67" s="45"/>
      <c r="AP67" s="45"/>
      <c r="AQ67" s="45"/>
      <c r="AR67" s="45"/>
      <c r="AS67" s="45"/>
    </row>
  </sheetData>
  <sheetProtection sheet="1"/>
  <mergeCells count="16">
    <mergeCell ref="P26:P27"/>
    <mergeCell ref="R23:S23"/>
    <mergeCell ref="O22:O23"/>
    <mergeCell ref="Q22:Q23"/>
    <mergeCell ref="R10:S11"/>
    <mergeCell ref="D2:W2"/>
    <mergeCell ref="D3:W3"/>
    <mergeCell ref="F10:G10"/>
    <mergeCell ref="J23:K23"/>
    <mergeCell ref="J25:K25"/>
    <mergeCell ref="J21:K21"/>
    <mergeCell ref="Q10:Q11"/>
    <mergeCell ref="I11:J11"/>
    <mergeCell ref="I13:J13"/>
    <mergeCell ref="D15:K15"/>
    <mergeCell ref="D19:K19"/>
  </mergeCells>
  <printOptions horizontalCentered="1"/>
  <pageMargins left="0.25" right="0.25" top="0.65" bottom="1" header="0.43" footer="0.5"/>
  <pageSetup horizontalDpi="600" verticalDpi="600" orientation="landscape" paperSize="9" scale="50" r:id="rId2"/>
  <headerFooter alignWithMargins="0">
    <oddFooter>&amp;C&amp;"Arial,Regular"&amp;8UNSD/United Nations Environment Programme Questionnaire 2018 on Environment Statistics - Water Section -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DK183"/>
  <sheetViews>
    <sheetView showGridLines="0" tabSelected="1" zoomScale="85" zoomScaleNormal="85" zoomScaleSheetLayoutView="55" zoomScalePageLayoutView="70" workbookViewId="0" topLeftCell="C1">
      <selection activeCell="C1" sqref="C1"/>
    </sheetView>
  </sheetViews>
  <sheetFormatPr defaultColWidth="9.33203125" defaultRowHeight="12.75"/>
  <cols>
    <col min="1" max="1" width="3.83203125" style="180" hidden="1" customWidth="1"/>
    <col min="2" max="2" width="6.83203125" style="181" hidden="1" customWidth="1"/>
    <col min="3" max="3" width="10.5" style="193" customWidth="1"/>
    <col min="4" max="4" width="34.83203125" style="218" customWidth="1"/>
    <col min="5" max="5" width="10.16015625" style="272" customWidth="1"/>
    <col min="6" max="6" width="10.5" style="193" customWidth="1"/>
    <col min="7" max="7" width="1.83203125" style="221" customWidth="1"/>
    <col min="8" max="8" width="7" style="222" customWidth="1"/>
    <col min="9" max="9" width="1.83203125" style="223" customWidth="1"/>
    <col min="10" max="10" width="7.16015625" style="222" customWidth="1"/>
    <col min="11" max="11" width="1.83203125" style="223" customWidth="1"/>
    <col min="12" max="12" width="7" style="222" customWidth="1"/>
    <col min="13" max="13" width="1.83203125" style="223" customWidth="1"/>
    <col min="14" max="14" width="7" style="222" customWidth="1"/>
    <col min="15" max="15" width="1.83203125" style="223" customWidth="1"/>
    <col min="16" max="16" width="7" style="222" customWidth="1"/>
    <col min="17" max="17" width="1.83203125" style="223" customWidth="1"/>
    <col min="18" max="18" width="7" style="222" customWidth="1"/>
    <col min="19" max="19" width="1.83203125" style="223" customWidth="1"/>
    <col min="20" max="20" width="7" style="222" customWidth="1"/>
    <col min="21" max="21" width="1.83203125" style="223" customWidth="1"/>
    <col min="22" max="22" width="7" style="222" customWidth="1"/>
    <col min="23" max="23" width="1.83203125" style="221" customWidth="1"/>
    <col min="24" max="24" width="7" style="222" customWidth="1"/>
    <col min="25" max="25" width="1.83203125" style="221" customWidth="1"/>
    <col min="26" max="26" width="7" style="222" customWidth="1"/>
    <col min="27" max="27" width="1.83203125" style="221" customWidth="1"/>
    <col min="28" max="28" width="7" style="222" customWidth="1"/>
    <col min="29" max="29" width="1.83203125" style="221" customWidth="1"/>
    <col min="30" max="30" width="7" style="222" customWidth="1"/>
    <col min="31" max="31" width="1.83203125" style="221" customWidth="1"/>
    <col min="32" max="32" width="7" style="222" customWidth="1"/>
    <col min="33" max="33" width="1.83203125" style="221" customWidth="1"/>
    <col min="34" max="34" width="7" style="222" customWidth="1"/>
    <col min="35" max="35" width="1.83203125" style="223" customWidth="1"/>
    <col min="36" max="36" width="7" style="222" customWidth="1"/>
    <col min="37" max="37" width="1.83203125" style="221" customWidth="1"/>
    <col min="38" max="38" width="7" style="222" customWidth="1"/>
    <col min="39" max="39" width="1.83203125" style="221" customWidth="1"/>
    <col min="40" max="40" width="7" style="222" customWidth="1"/>
    <col min="41" max="41" width="1.83203125" style="221" customWidth="1"/>
    <col min="42" max="42" width="7" style="221" customWidth="1"/>
    <col min="43" max="43" width="1.83203125" style="221" customWidth="1"/>
    <col min="44" max="44" width="7" style="221" customWidth="1"/>
    <col min="45" max="45" width="1.83203125" style="221" customWidth="1"/>
    <col min="46" max="46" width="7" style="222" customWidth="1"/>
    <col min="47" max="47" width="1.83203125" style="193" customWidth="1"/>
    <col min="48" max="48" width="7" style="193" customWidth="1"/>
    <col min="49" max="49" width="1.83203125" style="193" customWidth="1"/>
    <col min="50" max="50" width="7" style="222" customWidth="1"/>
    <col min="51" max="51" width="1.83203125" style="193" customWidth="1"/>
    <col min="52" max="52" width="7" style="193" customWidth="1"/>
    <col min="53" max="53" width="1.83203125" style="193" customWidth="1"/>
    <col min="54" max="54" width="7" style="193" customWidth="1"/>
    <col min="55" max="55" width="1.83203125" style="193" customWidth="1"/>
    <col min="56" max="56" width="1.5" style="193" customWidth="1"/>
    <col min="57" max="57" width="1.3359375" style="191" customWidth="1"/>
    <col min="58" max="58" width="5.5" style="191" customWidth="1"/>
    <col min="59" max="59" width="24.16015625" style="191" customWidth="1"/>
    <col min="60" max="60" width="8" style="191" customWidth="1"/>
    <col min="61" max="61" width="9.5" style="191" customWidth="1"/>
    <col min="62" max="62" width="5" style="191" customWidth="1"/>
    <col min="63" max="63" width="5.5" style="191" customWidth="1"/>
    <col min="64" max="64" width="1.0078125" style="191" customWidth="1"/>
    <col min="65" max="65" width="5.66015625" style="191" customWidth="1"/>
    <col min="66" max="66" width="1.0078125" style="191" customWidth="1"/>
    <col min="67" max="67" width="5" style="191" customWidth="1"/>
    <col min="68" max="68" width="1.0078125" style="191" customWidth="1"/>
    <col min="69" max="69" width="5" style="191" customWidth="1"/>
    <col min="70" max="70" width="1.0078125" style="191" customWidth="1"/>
    <col min="71" max="71" width="5" style="191" customWidth="1"/>
    <col min="72" max="72" width="1.0078125" style="191" customWidth="1"/>
    <col min="73" max="73" width="5" style="191" customWidth="1"/>
    <col min="74" max="74" width="1.0078125" style="191" customWidth="1"/>
    <col min="75" max="75" width="5" style="191" customWidth="1"/>
    <col min="76" max="76" width="1.0078125" style="191" customWidth="1"/>
    <col min="77" max="77" width="5" style="191" customWidth="1"/>
    <col min="78" max="78" width="1.0078125" style="191" customWidth="1"/>
    <col min="79" max="79" width="5" style="191" customWidth="1"/>
    <col min="80" max="80" width="1.0078125" style="191" customWidth="1"/>
    <col min="81" max="81" width="5" style="191" customWidth="1"/>
    <col min="82" max="82" width="1.0078125" style="191" customWidth="1"/>
    <col min="83" max="83" width="5" style="191" customWidth="1"/>
    <col min="84" max="84" width="1.0078125" style="191" customWidth="1"/>
    <col min="85" max="85" width="5" style="191" customWidth="1"/>
    <col min="86" max="86" width="1.0078125" style="191" customWidth="1"/>
    <col min="87" max="87" width="5" style="191" customWidth="1"/>
    <col min="88" max="88" width="1.0078125" style="191" customWidth="1"/>
    <col min="89" max="89" width="5" style="191" customWidth="1"/>
    <col min="90" max="90" width="1.0078125" style="191" customWidth="1"/>
    <col min="91" max="91" width="5" style="191" customWidth="1"/>
    <col min="92" max="92" width="1.0078125" style="191" customWidth="1"/>
    <col min="93" max="93" width="5" style="191" customWidth="1"/>
    <col min="94" max="94" width="1.0078125" style="191" customWidth="1"/>
    <col min="95" max="95" width="5.16015625" style="191" customWidth="1"/>
    <col min="96" max="96" width="1.0078125" style="191" customWidth="1"/>
    <col min="97" max="97" width="5.16015625" style="191" customWidth="1"/>
    <col min="98" max="98" width="1.0078125" style="191" customWidth="1"/>
    <col min="99" max="99" width="5.16015625" style="191" customWidth="1"/>
    <col min="100" max="100" width="1.0078125" style="191" customWidth="1"/>
    <col min="101" max="101" width="5.16015625" style="191" customWidth="1"/>
    <col min="102" max="102" width="1.0078125" style="191" customWidth="1"/>
    <col min="103" max="103" width="5.16015625" style="191" customWidth="1"/>
    <col min="104" max="104" width="1.0078125" style="191" customWidth="1"/>
    <col min="105" max="105" width="5.16015625" style="191" customWidth="1"/>
    <col min="106" max="106" width="1.0078125" style="191" customWidth="1"/>
    <col min="107" max="107" width="5.16015625" style="191" customWidth="1"/>
    <col min="108" max="108" width="3.5" style="193" customWidth="1"/>
    <col min="109" max="109" width="9.83203125" style="191" customWidth="1"/>
    <col min="110" max="110" width="16.33203125" style="191" bestFit="1" customWidth="1"/>
    <col min="111" max="111" width="15.83203125" style="191" bestFit="1" customWidth="1"/>
    <col min="112" max="112" width="16.33203125" style="191" bestFit="1" customWidth="1"/>
    <col min="113" max="113" width="13.5" style="193" customWidth="1"/>
    <col min="114" max="114" width="15.33203125" style="193" customWidth="1"/>
    <col min="115" max="16384" width="9.33203125" style="193" customWidth="1"/>
  </cols>
  <sheetData>
    <row r="1" spans="2:58" ht="15.75" customHeight="1">
      <c r="B1" s="181">
        <v>0</v>
      </c>
      <c r="C1" s="182" t="s">
        <v>308</v>
      </c>
      <c r="D1" s="183"/>
      <c r="E1" s="184"/>
      <c r="F1" s="185"/>
      <c r="G1" s="186"/>
      <c r="H1" s="187"/>
      <c r="I1" s="188"/>
      <c r="J1" s="187"/>
      <c r="K1" s="188"/>
      <c r="L1" s="187"/>
      <c r="M1" s="188"/>
      <c r="N1" s="187"/>
      <c r="O1" s="188"/>
      <c r="P1" s="187"/>
      <c r="Q1" s="188"/>
      <c r="R1" s="187"/>
      <c r="S1" s="188"/>
      <c r="T1" s="187"/>
      <c r="U1" s="188"/>
      <c r="V1" s="187"/>
      <c r="W1" s="186"/>
      <c r="X1" s="187"/>
      <c r="Y1" s="186"/>
      <c r="Z1" s="187"/>
      <c r="AA1" s="186"/>
      <c r="AB1" s="187"/>
      <c r="AC1" s="186"/>
      <c r="AD1" s="187"/>
      <c r="AE1" s="186"/>
      <c r="AF1" s="187"/>
      <c r="AG1" s="186"/>
      <c r="AH1" s="187"/>
      <c r="AI1" s="188"/>
      <c r="AJ1" s="187"/>
      <c r="AK1" s="186"/>
      <c r="AL1" s="187"/>
      <c r="AM1" s="186"/>
      <c r="AN1" s="187"/>
      <c r="AO1" s="186"/>
      <c r="AP1" s="186"/>
      <c r="AQ1" s="186"/>
      <c r="AR1" s="186"/>
      <c r="AS1" s="186"/>
      <c r="AT1" s="187"/>
      <c r="AU1" s="189"/>
      <c r="AV1" s="190"/>
      <c r="AW1" s="190"/>
      <c r="AX1" s="187"/>
      <c r="AY1" s="189"/>
      <c r="AZ1" s="190"/>
      <c r="BA1" s="190"/>
      <c r="BB1" s="190"/>
      <c r="BC1" s="190"/>
      <c r="BD1" s="190"/>
      <c r="BF1" s="192" t="s">
        <v>84</v>
      </c>
    </row>
    <row r="2" spans="3:56" ht="6.75" customHeight="1">
      <c r="C2" s="194"/>
      <c r="D2" s="195"/>
      <c r="E2" s="196"/>
      <c r="F2" s="197"/>
      <c r="G2" s="198"/>
      <c r="H2" s="199"/>
      <c r="I2" s="200"/>
      <c r="J2" s="199"/>
      <c r="K2" s="200"/>
      <c r="L2" s="199"/>
      <c r="M2" s="200"/>
      <c r="N2" s="199"/>
      <c r="O2" s="200"/>
      <c r="P2" s="199"/>
      <c r="Q2" s="200"/>
      <c r="R2" s="199"/>
      <c r="S2" s="200"/>
      <c r="T2" s="199"/>
      <c r="U2" s="200"/>
      <c r="V2" s="199"/>
      <c r="W2" s="198"/>
      <c r="X2" s="199"/>
      <c r="Y2" s="198"/>
      <c r="Z2" s="199"/>
      <c r="AA2" s="198"/>
      <c r="AB2" s="199"/>
      <c r="AC2" s="198"/>
      <c r="AD2" s="199"/>
      <c r="AE2" s="198"/>
      <c r="AF2" s="199"/>
      <c r="AG2" s="198"/>
      <c r="AH2" s="199"/>
      <c r="AI2" s="200"/>
      <c r="AJ2" s="199"/>
      <c r="AK2" s="198"/>
      <c r="AL2" s="199"/>
      <c r="AM2" s="198"/>
      <c r="AN2" s="199"/>
      <c r="AO2" s="198"/>
      <c r="AP2" s="198"/>
      <c r="AQ2" s="198"/>
      <c r="AR2" s="198"/>
      <c r="AS2" s="198"/>
      <c r="AT2" s="199"/>
      <c r="AU2" s="201"/>
      <c r="AV2" s="202"/>
      <c r="AW2" s="202"/>
      <c r="AX2" s="199"/>
      <c r="AY2" s="201"/>
      <c r="AZ2" s="202"/>
      <c r="BA2" s="202"/>
      <c r="BB2" s="202"/>
      <c r="BC2" s="202"/>
      <c r="BD2" s="202"/>
    </row>
    <row r="3" spans="2:58" ht="16.5" customHeight="1">
      <c r="B3" s="181">
        <v>894</v>
      </c>
      <c r="C3" s="203" t="s">
        <v>311</v>
      </c>
      <c r="D3" s="572" t="s">
        <v>498</v>
      </c>
      <c r="E3" s="324"/>
      <c r="F3" s="325"/>
      <c r="G3" s="321"/>
      <c r="H3" s="320"/>
      <c r="I3" s="326"/>
      <c r="J3" s="320"/>
      <c r="K3" s="326"/>
      <c r="L3" s="320"/>
      <c r="M3" s="326"/>
      <c r="N3" s="320"/>
      <c r="O3" s="326"/>
      <c r="P3" s="320"/>
      <c r="Q3" s="326"/>
      <c r="R3" s="320"/>
      <c r="S3" s="326"/>
      <c r="T3" s="320"/>
      <c r="U3" s="326"/>
      <c r="V3" s="320"/>
      <c r="W3" s="321"/>
      <c r="X3" s="320"/>
      <c r="Y3" s="321"/>
      <c r="Z3" s="207"/>
      <c r="AA3" s="208"/>
      <c r="AB3" s="207"/>
      <c r="AC3" s="208"/>
      <c r="AD3" s="207"/>
      <c r="AE3" s="203" t="s">
        <v>303</v>
      </c>
      <c r="AF3" s="205"/>
      <c r="AG3" s="204"/>
      <c r="AH3" s="205"/>
      <c r="AI3" s="206"/>
      <c r="AJ3" s="320"/>
      <c r="AK3" s="321"/>
      <c r="AL3" s="320"/>
      <c r="AM3" s="321"/>
      <c r="AN3" s="320"/>
      <c r="AO3" s="321"/>
      <c r="AP3" s="321"/>
      <c r="AQ3" s="321"/>
      <c r="AR3" s="321"/>
      <c r="AS3" s="321"/>
      <c r="AT3" s="320"/>
      <c r="AU3" s="322"/>
      <c r="AV3" s="323"/>
      <c r="AW3" s="323"/>
      <c r="AX3" s="320"/>
      <c r="AY3" s="322"/>
      <c r="AZ3" s="323"/>
      <c r="BA3" s="323"/>
      <c r="BB3" s="323"/>
      <c r="BC3" s="323"/>
      <c r="BD3" s="323"/>
      <c r="BF3" s="210" t="s">
        <v>51</v>
      </c>
    </row>
    <row r="4" spans="3:58" ht="2.25" customHeight="1">
      <c r="C4" s="776"/>
      <c r="D4" s="776"/>
      <c r="E4" s="776"/>
      <c r="F4" s="776"/>
      <c r="G4" s="776"/>
      <c r="H4" s="776"/>
      <c r="I4" s="776"/>
      <c r="J4" s="776"/>
      <c r="K4" s="776"/>
      <c r="L4" s="776"/>
      <c r="M4" s="776"/>
      <c r="N4" s="776"/>
      <c r="O4" s="776"/>
      <c r="P4" s="776"/>
      <c r="Q4" s="776"/>
      <c r="R4" s="776"/>
      <c r="S4" s="776"/>
      <c r="T4" s="776"/>
      <c r="U4" s="776"/>
      <c r="V4" s="776"/>
      <c r="W4" s="776"/>
      <c r="X4" s="776"/>
      <c r="Y4" s="776"/>
      <c r="Z4" s="776"/>
      <c r="AA4" s="776"/>
      <c r="AB4" s="776"/>
      <c r="AC4" s="776"/>
      <c r="AD4" s="776"/>
      <c r="AE4" s="776"/>
      <c r="AF4" s="776"/>
      <c r="AG4" s="776"/>
      <c r="AH4" s="776"/>
      <c r="AI4" s="776"/>
      <c r="AJ4" s="776"/>
      <c r="AK4" s="776"/>
      <c r="AL4" s="776"/>
      <c r="AM4" s="776"/>
      <c r="AN4" s="776"/>
      <c r="AO4" s="776"/>
      <c r="AP4" s="776"/>
      <c r="AQ4" s="776"/>
      <c r="AR4" s="776"/>
      <c r="AS4" s="776"/>
      <c r="AT4" s="776"/>
      <c r="AU4" s="776"/>
      <c r="AV4" s="776"/>
      <c r="AW4" s="776"/>
      <c r="AX4" s="776"/>
      <c r="AY4" s="776"/>
      <c r="AZ4" s="776"/>
      <c r="BA4" s="776"/>
      <c r="BB4" s="776"/>
      <c r="BC4" s="776"/>
      <c r="BD4" s="776"/>
      <c r="BF4" s="211"/>
    </row>
    <row r="5" spans="1:112" s="217" customFormat="1" ht="17.25" customHeight="1">
      <c r="A5" s="212"/>
      <c r="B5" s="181">
        <v>1</v>
      </c>
      <c r="C5" s="764" t="s">
        <v>452</v>
      </c>
      <c r="D5" s="764"/>
      <c r="E5" s="765"/>
      <c r="F5" s="765"/>
      <c r="G5" s="765"/>
      <c r="H5" s="766"/>
      <c r="I5" s="766"/>
      <c r="J5" s="766"/>
      <c r="K5" s="766"/>
      <c r="L5" s="766"/>
      <c r="M5" s="766"/>
      <c r="N5" s="766"/>
      <c r="O5" s="766"/>
      <c r="P5" s="766"/>
      <c r="Q5" s="766"/>
      <c r="R5" s="766"/>
      <c r="S5" s="766"/>
      <c r="T5" s="766"/>
      <c r="U5" s="766"/>
      <c r="V5" s="766"/>
      <c r="W5" s="765"/>
      <c r="X5" s="766"/>
      <c r="Y5" s="765"/>
      <c r="Z5" s="766"/>
      <c r="AA5" s="765"/>
      <c r="AB5" s="766"/>
      <c r="AC5" s="765"/>
      <c r="AD5" s="766"/>
      <c r="AE5" s="765"/>
      <c r="AF5" s="766"/>
      <c r="AG5" s="765"/>
      <c r="AH5" s="766"/>
      <c r="AI5" s="766"/>
      <c r="AJ5" s="766"/>
      <c r="AK5" s="765"/>
      <c r="AL5" s="766"/>
      <c r="AM5" s="765"/>
      <c r="AN5" s="766"/>
      <c r="AO5" s="765"/>
      <c r="AP5" s="765"/>
      <c r="AQ5" s="765"/>
      <c r="AR5" s="765"/>
      <c r="AS5" s="765"/>
      <c r="AT5" s="766"/>
      <c r="AU5" s="213"/>
      <c r="AV5" s="214"/>
      <c r="AW5" s="214"/>
      <c r="AX5" s="214"/>
      <c r="AY5" s="213"/>
      <c r="AZ5" s="214"/>
      <c r="BA5" s="214"/>
      <c r="BB5" s="214"/>
      <c r="BC5" s="214"/>
      <c r="BD5" s="214"/>
      <c r="BE5" s="215"/>
      <c r="BF5" s="216" t="s">
        <v>52</v>
      </c>
      <c r="BG5" s="215"/>
      <c r="BH5" s="215"/>
      <c r="BI5" s="215"/>
      <c r="BJ5" s="215"/>
      <c r="BK5" s="215"/>
      <c r="BL5" s="215"/>
      <c r="BM5" s="215"/>
      <c r="BN5" s="215"/>
      <c r="BO5" s="215"/>
      <c r="BP5" s="215"/>
      <c r="BQ5" s="215"/>
      <c r="BR5" s="215"/>
      <c r="BS5" s="215"/>
      <c r="BT5" s="215"/>
      <c r="BU5" s="215"/>
      <c r="BV5" s="215"/>
      <c r="BW5" s="215"/>
      <c r="BX5" s="215"/>
      <c r="BY5" s="215"/>
      <c r="BZ5" s="215"/>
      <c r="CA5" s="215"/>
      <c r="CB5" s="215"/>
      <c r="CC5" s="215"/>
      <c r="CD5" s="215"/>
      <c r="CE5" s="215"/>
      <c r="CF5" s="215"/>
      <c r="CG5" s="215"/>
      <c r="CH5" s="215"/>
      <c r="CI5" s="215"/>
      <c r="CJ5" s="215"/>
      <c r="CK5" s="215"/>
      <c r="CL5" s="215"/>
      <c r="CM5" s="215"/>
      <c r="CN5" s="215"/>
      <c r="CO5" s="215"/>
      <c r="CP5" s="215"/>
      <c r="CQ5" s="215"/>
      <c r="CR5" s="215"/>
      <c r="CS5" s="215"/>
      <c r="CT5" s="215"/>
      <c r="CU5" s="215"/>
      <c r="CV5" s="215"/>
      <c r="CW5" s="215"/>
      <c r="CX5" s="215"/>
      <c r="CY5" s="215"/>
      <c r="CZ5" s="215"/>
      <c r="DA5" s="215"/>
      <c r="DB5" s="215"/>
      <c r="DC5" s="215"/>
      <c r="DE5" s="763"/>
      <c r="DF5" s="763"/>
      <c r="DG5" s="763"/>
      <c r="DH5" s="763"/>
    </row>
    <row r="6" spans="5:114" ht="15.75" customHeight="1">
      <c r="E6" s="219"/>
      <c r="F6" s="220"/>
      <c r="H6" s="680" t="s">
        <v>508</v>
      </c>
      <c r="Z6" s="224"/>
      <c r="AB6" s="773"/>
      <c r="AC6" s="774"/>
      <c r="AD6" s="774"/>
      <c r="AE6" s="774"/>
      <c r="AF6" s="774"/>
      <c r="AG6" s="774"/>
      <c r="AH6" s="774"/>
      <c r="AI6" s="774"/>
      <c r="AJ6" s="774"/>
      <c r="AK6" s="775"/>
      <c r="AL6" s="775"/>
      <c r="AM6" s="775"/>
      <c r="AN6" s="775"/>
      <c r="AO6" s="226"/>
      <c r="AP6" s="226"/>
      <c r="AQ6" s="226"/>
      <c r="AR6" s="226"/>
      <c r="AS6" s="226"/>
      <c r="AT6" s="226"/>
      <c r="AU6" s="226"/>
      <c r="AV6" s="226"/>
      <c r="AW6" s="226"/>
      <c r="AX6" s="226"/>
      <c r="AY6" s="226"/>
      <c r="AZ6" s="226"/>
      <c r="BA6" s="226"/>
      <c r="BB6" s="226"/>
      <c r="BD6" s="227"/>
      <c r="BF6" s="228" t="s">
        <v>78</v>
      </c>
      <c r="DE6" s="229" t="s">
        <v>334</v>
      </c>
      <c r="DF6" s="229" t="s">
        <v>335</v>
      </c>
      <c r="DG6" s="229" t="s">
        <v>336</v>
      </c>
      <c r="DH6" s="229" t="s">
        <v>501</v>
      </c>
      <c r="DI6" s="229" t="s">
        <v>337</v>
      </c>
      <c r="DJ6" s="229" t="s">
        <v>338</v>
      </c>
    </row>
    <row r="7" spans="1:114" s="235" customFormat="1" ht="42.75" customHeight="1">
      <c r="A7" s="230"/>
      <c r="B7" s="231">
        <v>2</v>
      </c>
      <c r="C7" s="232" t="s">
        <v>301</v>
      </c>
      <c r="D7" s="232" t="s">
        <v>302</v>
      </c>
      <c r="E7" s="233" t="s">
        <v>305</v>
      </c>
      <c r="F7" s="232" t="s">
        <v>329</v>
      </c>
      <c r="G7" s="234"/>
      <c r="H7" s="233">
        <v>1990</v>
      </c>
      <c r="I7" s="234"/>
      <c r="J7" s="233">
        <v>1995</v>
      </c>
      <c r="K7" s="234"/>
      <c r="L7" s="233">
        <v>1996</v>
      </c>
      <c r="M7" s="234"/>
      <c r="N7" s="233">
        <v>1997</v>
      </c>
      <c r="O7" s="234"/>
      <c r="P7" s="233">
        <v>1998</v>
      </c>
      <c r="Q7" s="234"/>
      <c r="R7" s="233">
        <v>1999</v>
      </c>
      <c r="S7" s="234"/>
      <c r="T7" s="233">
        <v>2000</v>
      </c>
      <c r="U7" s="234"/>
      <c r="V7" s="233">
        <v>2001</v>
      </c>
      <c r="W7" s="234"/>
      <c r="X7" s="233">
        <v>2002</v>
      </c>
      <c r="Y7" s="234"/>
      <c r="Z7" s="233">
        <v>2003</v>
      </c>
      <c r="AA7" s="234"/>
      <c r="AB7" s="233">
        <v>2004</v>
      </c>
      <c r="AC7" s="234"/>
      <c r="AD7" s="233">
        <v>2005</v>
      </c>
      <c r="AE7" s="234"/>
      <c r="AF7" s="233">
        <v>2006</v>
      </c>
      <c r="AG7" s="234"/>
      <c r="AH7" s="233">
        <v>2007</v>
      </c>
      <c r="AI7" s="234"/>
      <c r="AJ7" s="233">
        <v>2008</v>
      </c>
      <c r="AK7" s="234"/>
      <c r="AL7" s="233">
        <v>2009</v>
      </c>
      <c r="AM7" s="234"/>
      <c r="AN7" s="233">
        <v>2010</v>
      </c>
      <c r="AO7" s="234"/>
      <c r="AP7" s="233">
        <v>2011</v>
      </c>
      <c r="AQ7" s="233"/>
      <c r="AR7" s="233">
        <v>2012</v>
      </c>
      <c r="AS7" s="234"/>
      <c r="AT7" s="233">
        <v>2013</v>
      </c>
      <c r="AU7" s="234"/>
      <c r="AV7" s="233">
        <v>2014</v>
      </c>
      <c r="AW7" s="233"/>
      <c r="AX7" s="233">
        <v>2015</v>
      </c>
      <c r="AY7" s="234"/>
      <c r="AZ7" s="233">
        <v>2016</v>
      </c>
      <c r="BA7" s="233"/>
      <c r="BB7" s="233">
        <v>2017</v>
      </c>
      <c r="BC7" s="234"/>
      <c r="BE7" s="230"/>
      <c r="BF7" s="232" t="s">
        <v>301</v>
      </c>
      <c r="BG7" s="232" t="s">
        <v>302</v>
      </c>
      <c r="BH7" s="232" t="s">
        <v>305</v>
      </c>
      <c r="BI7" s="232" t="s">
        <v>329</v>
      </c>
      <c r="BJ7" s="233">
        <v>1990</v>
      </c>
      <c r="BK7" s="233">
        <v>1995</v>
      </c>
      <c r="BL7" s="233"/>
      <c r="BM7" s="233">
        <v>1996</v>
      </c>
      <c r="BN7" s="233"/>
      <c r="BO7" s="233">
        <v>1997</v>
      </c>
      <c r="BP7" s="233"/>
      <c r="BQ7" s="233">
        <v>1998</v>
      </c>
      <c r="BR7" s="233"/>
      <c r="BS7" s="233">
        <v>1999</v>
      </c>
      <c r="BT7" s="233"/>
      <c r="BU7" s="233">
        <v>2000</v>
      </c>
      <c r="BV7" s="233"/>
      <c r="BW7" s="233">
        <v>2001</v>
      </c>
      <c r="BX7" s="233"/>
      <c r="BY7" s="233">
        <v>2002</v>
      </c>
      <c r="BZ7" s="233"/>
      <c r="CA7" s="233">
        <v>2003</v>
      </c>
      <c r="CB7" s="233"/>
      <c r="CC7" s="233">
        <v>2004</v>
      </c>
      <c r="CD7" s="233"/>
      <c r="CE7" s="233">
        <v>2005</v>
      </c>
      <c r="CF7" s="233"/>
      <c r="CG7" s="233">
        <v>2006</v>
      </c>
      <c r="CH7" s="233"/>
      <c r="CI7" s="233">
        <v>2007</v>
      </c>
      <c r="CJ7" s="233"/>
      <c r="CK7" s="233">
        <v>2008</v>
      </c>
      <c r="CL7" s="233"/>
      <c r="CM7" s="233">
        <v>2009</v>
      </c>
      <c r="CN7" s="233"/>
      <c r="CO7" s="233">
        <v>2010</v>
      </c>
      <c r="CP7" s="233"/>
      <c r="CQ7" s="233">
        <v>2011</v>
      </c>
      <c r="CR7" s="233"/>
      <c r="CS7" s="233">
        <v>2012</v>
      </c>
      <c r="CT7" s="233"/>
      <c r="CU7" s="233">
        <v>2013</v>
      </c>
      <c r="CV7" s="233"/>
      <c r="CW7" s="233">
        <v>2014</v>
      </c>
      <c r="CX7" s="233"/>
      <c r="CY7" s="233">
        <v>2015</v>
      </c>
      <c r="CZ7" s="233"/>
      <c r="DA7" s="233">
        <v>2016</v>
      </c>
      <c r="DB7" s="233"/>
      <c r="DC7" s="233">
        <v>2017</v>
      </c>
      <c r="DE7" s="598">
        <v>4</v>
      </c>
      <c r="DF7" s="598" t="s">
        <v>339</v>
      </c>
      <c r="DG7" s="598">
        <v>213500</v>
      </c>
      <c r="DH7" s="598">
        <v>47150</v>
      </c>
      <c r="DI7" s="598">
        <v>10000</v>
      </c>
      <c r="DJ7" s="598">
        <v>65330</v>
      </c>
    </row>
    <row r="8" spans="1:114" s="241" customFormat="1" ht="20.25" customHeight="1">
      <c r="A8" s="236"/>
      <c r="B8" s="237">
        <v>6</v>
      </c>
      <c r="C8" s="238">
        <v>1</v>
      </c>
      <c r="D8" s="239" t="s">
        <v>502</v>
      </c>
      <c r="E8" s="240" t="s">
        <v>313</v>
      </c>
      <c r="F8" s="573">
        <v>943.6</v>
      </c>
      <c r="G8" s="583"/>
      <c r="H8" s="573"/>
      <c r="I8" s="583"/>
      <c r="J8" s="573"/>
      <c r="K8" s="583"/>
      <c r="L8" s="573"/>
      <c r="M8" s="583"/>
      <c r="N8" s="573"/>
      <c r="O8" s="583"/>
      <c r="P8" s="573"/>
      <c r="Q8" s="583"/>
      <c r="R8" s="573"/>
      <c r="S8" s="583"/>
      <c r="T8" s="573"/>
      <c r="U8" s="583"/>
      <c r="V8" s="573">
        <v>1023.2</v>
      </c>
      <c r="W8" s="583"/>
      <c r="X8" s="573">
        <v>844.6</v>
      </c>
      <c r="Y8" s="583"/>
      <c r="Z8" s="573">
        <v>953.2</v>
      </c>
      <c r="AA8" s="583"/>
      <c r="AB8" s="573">
        <v>1033.4</v>
      </c>
      <c r="AC8" s="583"/>
      <c r="AD8" s="573">
        <v>759.2</v>
      </c>
      <c r="AE8" s="583"/>
      <c r="AF8" s="573">
        <v>1010.8</v>
      </c>
      <c r="AG8" s="583"/>
      <c r="AH8" s="573">
        <v>1036.1</v>
      </c>
      <c r="AI8" s="583"/>
      <c r="AJ8" s="573">
        <v>1019.9</v>
      </c>
      <c r="AK8" s="583"/>
      <c r="AL8" s="573">
        <v>1002.2</v>
      </c>
      <c r="AM8" s="583"/>
      <c r="AN8" s="573">
        <v>1008.8</v>
      </c>
      <c r="AO8" s="583"/>
      <c r="AP8" s="573">
        <v>890.4</v>
      </c>
      <c r="AQ8" s="583"/>
      <c r="AR8" s="573">
        <v>1033.9</v>
      </c>
      <c r="AS8" s="583"/>
      <c r="AT8" s="573"/>
      <c r="AU8" s="583"/>
      <c r="AV8" s="573"/>
      <c r="AW8" s="583"/>
      <c r="AX8" s="573"/>
      <c r="AY8" s="583"/>
      <c r="AZ8" s="573"/>
      <c r="BA8" s="583"/>
      <c r="BB8" s="573"/>
      <c r="BC8" s="583"/>
      <c r="BE8" s="242"/>
      <c r="BF8" s="97">
        <v>1</v>
      </c>
      <c r="BG8" s="243" t="s">
        <v>80</v>
      </c>
      <c r="BH8" s="244" t="s">
        <v>81</v>
      </c>
      <c r="BI8" s="245" t="str">
        <f>IF(OR(ISERR(AVERAGE(H8:BB8)),ISBLANK(F8)),"N/A",IF(OR(F8&lt;AVERAGE(H8:BB8)*0.75,F8&gt;AVERAGE(H8:BB8)*1.25),"&lt;&gt;Average","ok"))</f>
        <v>ok</v>
      </c>
      <c r="BJ8" s="606" t="s">
        <v>85</v>
      </c>
      <c r="BK8" s="97" t="str">
        <f aca="true" t="shared" si="0" ref="BK8:BK16">IF(OR(ISBLANK(H8),ISBLANK(J8)),"N/A",IF(ABS((J8-H8)/H8)&gt;1,"&gt; 100%","ok"))</f>
        <v>N/A</v>
      </c>
      <c r="BL8" s="606"/>
      <c r="BM8" s="80" t="str">
        <f aca="true" t="shared" si="1" ref="BM8:BM16">IF(OR(ISBLANK(L8),ISBLANK(J8)),"N/A",IF(ABS((L8-J8)/J8)&gt;0.25,"&gt; 25%","ok"))</f>
        <v>N/A</v>
      </c>
      <c r="BN8" s="606"/>
      <c r="BO8" s="80" t="str">
        <f aca="true" t="shared" si="2" ref="BO8:BO16">IF(OR(ISBLANK(N8),ISBLANK(L8)),"N/A",IF(ABS((N8-L8)/L8)&gt;0.25,"&gt; 25%","ok"))</f>
        <v>N/A</v>
      </c>
      <c r="BP8" s="606"/>
      <c r="BQ8" s="80" t="str">
        <f aca="true" t="shared" si="3" ref="BQ8:BQ16">IF(OR(ISBLANK(P8),ISBLANK(N8)),"N/A",IF(ABS((P8-N8)/N8)&gt;0.25,"&gt; 25%","ok"))</f>
        <v>N/A</v>
      </c>
      <c r="BR8" s="606"/>
      <c r="BS8" s="80" t="str">
        <f aca="true" t="shared" si="4" ref="BS8:BS16">IF(OR(ISBLANK(R8),ISBLANK(P8)),"N/A",IF(ABS((R8-P8)/P8)&gt;0.25,"&gt; 25%","ok"))</f>
        <v>N/A</v>
      </c>
      <c r="BT8" s="606"/>
      <c r="BU8" s="80" t="str">
        <f aca="true" t="shared" si="5" ref="BU8:BU16">IF(OR(ISBLANK(T8),ISBLANK(R8)),"N/A",IF(ABS((T8-R8)/R8)&gt;0.25,"&gt; 25%","ok"))</f>
        <v>N/A</v>
      </c>
      <c r="BV8" s="606"/>
      <c r="BW8" s="80" t="str">
        <f aca="true" t="shared" si="6" ref="BW8:BW16">IF(OR(ISBLANK(V8),ISBLANK(T8)),"N/A",IF(ABS((V8-T8)/T8)&gt;0.25,"&gt; 25%","ok"))</f>
        <v>N/A</v>
      </c>
      <c r="BX8" s="606"/>
      <c r="BY8" s="80" t="str">
        <f aca="true" t="shared" si="7" ref="BY8:BY16">IF(OR(ISBLANK(X8),ISBLANK(V8)),"N/A",IF(ABS((X8-V8)/V8)&gt;0.25,"&gt; 25%","ok"))</f>
        <v>ok</v>
      </c>
      <c r="BZ8" s="606"/>
      <c r="CA8" s="80" t="str">
        <f aca="true" t="shared" si="8" ref="CA8:CA16">IF(OR(ISBLANK(Z8),ISBLANK(X8)),"N/A",IF(ABS((Z8-X8)/X8)&gt;0.25,"&gt; 25%","ok"))</f>
        <v>ok</v>
      </c>
      <c r="CB8" s="606"/>
      <c r="CC8" s="80" t="str">
        <f aca="true" t="shared" si="9" ref="CC8:CC16">IF(OR(ISBLANK(AB8),ISBLANK(Z8)),"N/A",IF(ABS((AB8-Z8)/Z8)&gt;0.25,"&gt; 25%","ok"))</f>
        <v>ok</v>
      </c>
      <c r="CD8" s="606"/>
      <c r="CE8" s="80" t="str">
        <f aca="true" t="shared" si="10" ref="CE8:CE16">IF(OR(ISBLANK(AD8),ISBLANK(AB8)),"N/A",IF(ABS((AD8-AB8)/AB8)&gt;0.25,"&gt; 25%","ok"))</f>
        <v>&gt; 25%</v>
      </c>
      <c r="CF8" s="606"/>
      <c r="CG8" s="80" t="str">
        <f aca="true" t="shared" si="11" ref="CG8:CG16">IF(OR(ISBLANK(AF8),ISBLANK(AD8)),"N/A",IF(ABS((AF8-AD8)/AD8)&gt;0.25,"&gt; 25%","ok"))</f>
        <v>&gt; 25%</v>
      </c>
      <c r="CH8" s="606"/>
      <c r="CI8" s="80" t="str">
        <f aca="true" t="shared" si="12" ref="CI8:CI16">IF(OR(ISBLANK(AH8),ISBLANK(AF8)),"N/A",IF(ABS((AH8-AF8)/AF8)&gt;0.25,"&gt; 25%","ok"))</f>
        <v>ok</v>
      </c>
      <c r="CJ8" s="606"/>
      <c r="CK8" s="80" t="str">
        <f aca="true" t="shared" si="13" ref="CK8:CK16">IF(OR(ISBLANK(AJ8),ISBLANK(AH8)),"N/A",IF(ABS((AJ8-AH8)/AH8)&gt;0.25,"&gt; 25%","ok"))</f>
        <v>ok</v>
      </c>
      <c r="CL8" s="606"/>
      <c r="CM8" s="80" t="str">
        <f aca="true" t="shared" si="14" ref="CM8:CM16">IF(OR(ISBLANK(AL8),ISBLANK(AJ8)),"N/A",IF(ABS((AL8-AJ8)/AJ8)&gt;0.25,"&gt; 25%","ok"))</f>
        <v>ok</v>
      </c>
      <c r="CN8" s="606"/>
      <c r="CO8" s="80" t="str">
        <f aca="true" t="shared" si="15" ref="CO8:CO16">IF(OR(ISBLANK(AN8),ISBLANK(AL8)),"N/A",IF(ABS((AN8-AL8)/AL8)&gt;0.25,"&gt; 25%","ok"))</f>
        <v>ok</v>
      </c>
      <c r="CP8" s="606"/>
      <c r="CQ8" s="80" t="str">
        <f aca="true" t="shared" si="16" ref="CQ8:CQ16">IF(OR(ISBLANK(AP8),ISBLANK(AN8)),"N/A",IF(ABS((AP8-AN8)/AN8)&gt;0.25,"&gt; 25%","ok"))</f>
        <v>ok</v>
      </c>
      <c r="CR8" s="606"/>
      <c r="CS8" s="80" t="str">
        <f aca="true" t="shared" si="17" ref="CS8:CS16">IF(OR(ISBLANK(AR8),ISBLANK(AP8)),"N/A",IF(ABS((AR8-AP8)/AP8)&gt;0.25,"&gt; 25%","ok"))</f>
        <v>ok</v>
      </c>
      <c r="CT8" s="606"/>
      <c r="CU8" s="80" t="str">
        <f aca="true" t="shared" si="18" ref="CU8:CU16">IF(OR(ISBLANK(AT8),ISBLANK(AR8)),"N/A",IF(ABS((AT8-AR8)/AR8)&gt;0.25,"&gt; 25%","ok"))</f>
        <v>N/A</v>
      </c>
      <c r="CV8" s="606"/>
      <c r="CW8" s="80" t="str">
        <f aca="true" t="shared" si="19" ref="CW8:CW16">IF(OR(ISBLANK(AV8),ISBLANK(AT8)),"N/A",IF(ABS((AV8-AT8)/AT8)&gt;0.25,"&gt; 25%","ok"))</f>
        <v>N/A</v>
      </c>
      <c r="CX8" s="606"/>
      <c r="CY8" s="80" t="str">
        <f aca="true" t="shared" si="20" ref="CY8:CY16">IF(OR(ISBLANK(AX8),ISBLANK(AV8)),"N/A",IF(ABS((AX8-AV8)/AV8)&gt;0.25,"&gt; 25%","ok"))</f>
        <v>N/A</v>
      </c>
      <c r="CZ8" s="606"/>
      <c r="DA8" s="80" t="str">
        <f aca="true" t="shared" si="21" ref="DA8:DA16">IF(OR(ISBLANK(AZ8),ISBLANK(AX8)),"N/A",IF(ABS((AZ8-AX8)/AX8)&gt;0.25,"&gt; 25%","ok"))</f>
        <v>N/A</v>
      </c>
      <c r="DB8" s="606"/>
      <c r="DC8" s="80" t="str">
        <f>IF(OR(ISBLANK(BB8),ISBLANK(AZ8)),"N/A",IF(ABS((BB8-AZ8)/AZ8)&gt;0.25,"&gt; 25%","ok"))</f>
        <v>N/A</v>
      </c>
      <c r="DD8" s="606"/>
      <c r="DE8" s="598">
        <v>8</v>
      </c>
      <c r="DF8" s="598" t="s">
        <v>340</v>
      </c>
      <c r="DG8" s="598">
        <v>42690</v>
      </c>
      <c r="DH8" s="598">
        <v>26900</v>
      </c>
      <c r="DI8" s="598">
        <v>3300</v>
      </c>
      <c r="DJ8" s="598">
        <v>30200</v>
      </c>
    </row>
    <row r="9" spans="1:114" s="241" customFormat="1" ht="20.25" customHeight="1">
      <c r="A9" s="236"/>
      <c r="B9" s="237">
        <v>7</v>
      </c>
      <c r="C9" s="246">
        <v>2</v>
      </c>
      <c r="D9" s="247" t="s">
        <v>500</v>
      </c>
      <c r="E9" s="246" t="s">
        <v>313</v>
      </c>
      <c r="F9" s="601">
        <v>39</v>
      </c>
      <c r="G9" s="584"/>
      <c r="H9" s="601"/>
      <c r="I9" s="584"/>
      <c r="J9" s="601"/>
      <c r="K9" s="584"/>
      <c r="L9" s="601"/>
      <c r="M9" s="584"/>
      <c r="N9" s="601"/>
      <c r="O9" s="584"/>
      <c r="P9" s="601"/>
      <c r="Q9" s="584"/>
      <c r="R9" s="601"/>
      <c r="S9" s="584"/>
      <c r="T9" s="601"/>
      <c r="U9" s="584"/>
      <c r="V9" s="601">
        <v>43.5</v>
      </c>
      <c r="W9" s="584"/>
      <c r="X9" s="601">
        <v>40.8</v>
      </c>
      <c r="Y9" s="584"/>
      <c r="Z9" s="601">
        <v>41.3</v>
      </c>
      <c r="AA9" s="584"/>
      <c r="AB9" s="601">
        <v>40.4</v>
      </c>
      <c r="AC9" s="584"/>
      <c r="AD9" s="601">
        <v>44.9</v>
      </c>
      <c r="AE9" s="584"/>
      <c r="AF9" s="601">
        <v>42.1</v>
      </c>
      <c r="AG9" s="584"/>
      <c r="AH9" s="601">
        <v>43.2</v>
      </c>
      <c r="AI9" s="584"/>
      <c r="AJ9" s="601">
        <v>44.6</v>
      </c>
      <c r="AK9" s="584"/>
      <c r="AL9" s="601">
        <v>43.9</v>
      </c>
      <c r="AM9" s="584"/>
      <c r="AN9" s="601">
        <v>43.9</v>
      </c>
      <c r="AO9" s="584"/>
      <c r="AP9" s="601">
        <v>43.9</v>
      </c>
      <c r="AQ9" s="584"/>
      <c r="AR9" s="601">
        <v>44.4</v>
      </c>
      <c r="AS9" s="584"/>
      <c r="AT9" s="601"/>
      <c r="AU9" s="584"/>
      <c r="AV9" s="601"/>
      <c r="AW9" s="584"/>
      <c r="AX9" s="601"/>
      <c r="AY9" s="584"/>
      <c r="AZ9" s="601"/>
      <c r="BA9" s="584"/>
      <c r="BB9" s="601"/>
      <c r="BC9" s="584"/>
      <c r="BE9" s="242"/>
      <c r="BF9" s="82">
        <v>2</v>
      </c>
      <c r="BG9" s="248" t="s">
        <v>500</v>
      </c>
      <c r="BH9" s="83" t="s">
        <v>81</v>
      </c>
      <c r="BI9" s="82" t="str">
        <f aca="true" t="shared" si="22" ref="BI9:BI16">IF(OR(ISERR(AVERAGE(H9:AV9)),ISBLANK(F9)),"N/A",IF(OR(F9&lt;AVERAGE(H9:AV9)*0.75,F9&gt;AVERAGE(H9:AV9)*1.25),"&lt;&gt;Average","ok"))</f>
        <v>ok</v>
      </c>
      <c r="BJ9" s="607" t="s">
        <v>85</v>
      </c>
      <c r="BK9" s="97" t="str">
        <f t="shared" si="0"/>
        <v>N/A</v>
      </c>
      <c r="BL9" s="607"/>
      <c r="BM9" s="80" t="str">
        <f t="shared" si="1"/>
        <v>N/A</v>
      </c>
      <c r="BN9" s="607"/>
      <c r="BO9" s="80" t="str">
        <f t="shared" si="2"/>
        <v>N/A</v>
      </c>
      <c r="BP9" s="607"/>
      <c r="BQ9" s="80" t="str">
        <f t="shared" si="3"/>
        <v>N/A</v>
      </c>
      <c r="BR9" s="607"/>
      <c r="BS9" s="80" t="str">
        <f t="shared" si="4"/>
        <v>N/A</v>
      </c>
      <c r="BT9" s="607"/>
      <c r="BU9" s="80" t="str">
        <f t="shared" si="5"/>
        <v>N/A</v>
      </c>
      <c r="BV9" s="607"/>
      <c r="BW9" s="80" t="str">
        <f t="shared" si="6"/>
        <v>N/A</v>
      </c>
      <c r="BX9" s="607"/>
      <c r="BY9" s="80" t="str">
        <f t="shared" si="7"/>
        <v>ok</v>
      </c>
      <c r="BZ9" s="607"/>
      <c r="CA9" s="80" t="str">
        <f t="shared" si="8"/>
        <v>ok</v>
      </c>
      <c r="CB9" s="607"/>
      <c r="CC9" s="80" t="str">
        <f t="shared" si="9"/>
        <v>ok</v>
      </c>
      <c r="CD9" s="607"/>
      <c r="CE9" s="80" t="str">
        <f t="shared" si="10"/>
        <v>ok</v>
      </c>
      <c r="CF9" s="607"/>
      <c r="CG9" s="80" t="str">
        <f t="shared" si="11"/>
        <v>ok</v>
      </c>
      <c r="CH9" s="607"/>
      <c r="CI9" s="80" t="str">
        <f t="shared" si="12"/>
        <v>ok</v>
      </c>
      <c r="CJ9" s="607"/>
      <c r="CK9" s="80" t="str">
        <f t="shared" si="13"/>
        <v>ok</v>
      </c>
      <c r="CL9" s="607"/>
      <c r="CM9" s="80" t="str">
        <f t="shared" si="14"/>
        <v>ok</v>
      </c>
      <c r="CN9" s="607"/>
      <c r="CO9" s="80" t="str">
        <f t="shared" si="15"/>
        <v>ok</v>
      </c>
      <c r="CP9" s="607"/>
      <c r="CQ9" s="80" t="str">
        <f t="shared" si="16"/>
        <v>ok</v>
      </c>
      <c r="CR9" s="607"/>
      <c r="CS9" s="80" t="str">
        <f t="shared" si="17"/>
        <v>ok</v>
      </c>
      <c r="CT9" s="607"/>
      <c r="CU9" s="80" t="str">
        <f t="shared" si="18"/>
        <v>N/A</v>
      </c>
      <c r="CV9" s="607"/>
      <c r="CW9" s="80" t="str">
        <f t="shared" si="19"/>
        <v>N/A</v>
      </c>
      <c r="CX9" s="607"/>
      <c r="CY9" s="80" t="str">
        <f t="shared" si="20"/>
        <v>N/A</v>
      </c>
      <c r="CZ9" s="607"/>
      <c r="DA9" s="80" t="str">
        <f t="shared" si="21"/>
        <v>N/A</v>
      </c>
      <c r="DB9" s="607"/>
      <c r="DC9" s="80" t="str">
        <f aca="true" t="shared" si="23" ref="DC9:DC16">IF(OR(ISBLANK(BB9),ISBLANK(AZ9)),"N/A",IF(ABS((BB9-AZ9)/AZ9)&gt;0.25,"&gt; 25%","ok"))</f>
        <v>N/A</v>
      </c>
      <c r="DD9" s="607"/>
      <c r="DE9" s="598">
        <v>12</v>
      </c>
      <c r="DF9" s="598" t="s">
        <v>341</v>
      </c>
      <c r="DG9" s="598">
        <v>212000</v>
      </c>
      <c r="DH9" s="598">
        <v>11250</v>
      </c>
      <c r="DI9" s="598">
        <v>390</v>
      </c>
      <c r="DJ9" s="598">
        <v>11670</v>
      </c>
    </row>
    <row r="10" spans="1:114" s="250" customFormat="1" ht="20.25" customHeight="1">
      <c r="A10" s="249" t="s">
        <v>67</v>
      </c>
      <c r="B10" s="237">
        <v>5</v>
      </c>
      <c r="C10" s="238">
        <v>3</v>
      </c>
      <c r="D10" s="247" t="s">
        <v>20</v>
      </c>
      <c r="E10" s="246" t="s">
        <v>313</v>
      </c>
      <c r="F10" s="601">
        <v>904.6</v>
      </c>
      <c r="G10" s="584"/>
      <c r="H10" s="601"/>
      <c r="I10" s="584"/>
      <c r="J10" s="601"/>
      <c r="K10" s="584"/>
      <c r="L10" s="601"/>
      <c r="M10" s="584"/>
      <c r="N10" s="601"/>
      <c r="O10" s="584"/>
      <c r="P10" s="601"/>
      <c r="Q10" s="584"/>
      <c r="R10" s="601"/>
      <c r="S10" s="584"/>
      <c r="T10" s="601"/>
      <c r="U10" s="584"/>
      <c r="V10" s="601">
        <v>979.7</v>
      </c>
      <c r="W10" s="584"/>
      <c r="X10" s="601">
        <v>803.8</v>
      </c>
      <c r="Y10" s="584"/>
      <c r="Z10" s="601">
        <v>911.9</v>
      </c>
      <c r="AA10" s="584"/>
      <c r="AB10" s="601">
        <v>993</v>
      </c>
      <c r="AC10" s="584"/>
      <c r="AD10" s="601">
        <v>714.3</v>
      </c>
      <c r="AE10" s="584"/>
      <c r="AF10" s="601">
        <v>968.7</v>
      </c>
      <c r="AG10" s="584"/>
      <c r="AH10" s="601">
        <v>992.9</v>
      </c>
      <c r="AI10" s="584"/>
      <c r="AJ10" s="601">
        <v>975.3</v>
      </c>
      <c r="AK10" s="584"/>
      <c r="AL10" s="601">
        <v>958.3</v>
      </c>
      <c r="AM10" s="584"/>
      <c r="AN10" s="601">
        <v>964.9</v>
      </c>
      <c r="AO10" s="584"/>
      <c r="AP10" s="601">
        <v>846.5</v>
      </c>
      <c r="AQ10" s="584"/>
      <c r="AR10" s="601">
        <v>989.5</v>
      </c>
      <c r="AS10" s="584"/>
      <c r="AT10" s="601"/>
      <c r="AU10" s="584"/>
      <c r="AV10" s="601"/>
      <c r="AW10" s="584"/>
      <c r="AX10" s="601"/>
      <c r="AY10" s="584"/>
      <c r="AZ10" s="601"/>
      <c r="BA10" s="584"/>
      <c r="BB10" s="601"/>
      <c r="BC10" s="584"/>
      <c r="BE10" s="251"/>
      <c r="BF10" s="97">
        <v>3</v>
      </c>
      <c r="BG10" s="248" t="s">
        <v>20</v>
      </c>
      <c r="BH10" s="82" t="s">
        <v>81</v>
      </c>
      <c r="BI10" s="82" t="str">
        <f t="shared" si="22"/>
        <v>ok</v>
      </c>
      <c r="BJ10" s="607" t="s">
        <v>85</v>
      </c>
      <c r="BK10" s="97" t="str">
        <f t="shared" si="0"/>
        <v>N/A</v>
      </c>
      <c r="BL10" s="607"/>
      <c r="BM10" s="80" t="str">
        <f t="shared" si="1"/>
        <v>N/A</v>
      </c>
      <c r="BN10" s="607"/>
      <c r="BO10" s="80" t="str">
        <f t="shared" si="2"/>
        <v>N/A</v>
      </c>
      <c r="BP10" s="607"/>
      <c r="BQ10" s="80" t="str">
        <f t="shared" si="3"/>
        <v>N/A</v>
      </c>
      <c r="BR10" s="607"/>
      <c r="BS10" s="80" t="str">
        <f t="shared" si="4"/>
        <v>N/A</v>
      </c>
      <c r="BT10" s="607"/>
      <c r="BU10" s="80" t="str">
        <f t="shared" si="5"/>
        <v>N/A</v>
      </c>
      <c r="BV10" s="607"/>
      <c r="BW10" s="80" t="str">
        <f t="shared" si="6"/>
        <v>N/A</v>
      </c>
      <c r="BX10" s="607"/>
      <c r="BY10" s="80" t="str">
        <f t="shared" si="7"/>
        <v>ok</v>
      </c>
      <c r="BZ10" s="607"/>
      <c r="CA10" s="80" t="str">
        <f t="shared" si="8"/>
        <v>ok</v>
      </c>
      <c r="CB10" s="607"/>
      <c r="CC10" s="80" t="str">
        <f t="shared" si="9"/>
        <v>ok</v>
      </c>
      <c r="CD10" s="607"/>
      <c r="CE10" s="80" t="str">
        <f t="shared" si="10"/>
        <v>&gt; 25%</v>
      </c>
      <c r="CF10" s="607"/>
      <c r="CG10" s="80" t="str">
        <f t="shared" si="11"/>
        <v>&gt; 25%</v>
      </c>
      <c r="CH10" s="607"/>
      <c r="CI10" s="80" t="str">
        <f t="shared" si="12"/>
        <v>ok</v>
      </c>
      <c r="CJ10" s="607"/>
      <c r="CK10" s="80" t="str">
        <f t="shared" si="13"/>
        <v>ok</v>
      </c>
      <c r="CL10" s="607"/>
      <c r="CM10" s="80" t="str">
        <f t="shared" si="14"/>
        <v>ok</v>
      </c>
      <c r="CN10" s="607"/>
      <c r="CO10" s="80" t="str">
        <f t="shared" si="15"/>
        <v>ok</v>
      </c>
      <c r="CP10" s="607"/>
      <c r="CQ10" s="80" t="str">
        <f t="shared" si="16"/>
        <v>ok</v>
      </c>
      <c r="CR10" s="607"/>
      <c r="CS10" s="80" t="str">
        <f t="shared" si="17"/>
        <v>ok</v>
      </c>
      <c r="CT10" s="607"/>
      <c r="CU10" s="80" t="str">
        <f t="shared" si="18"/>
        <v>N/A</v>
      </c>
      <c r="CV10" s="607"/>
      <c r="CW10" s="80" t="str">
        <f t="shared" si="19"/>
        <v>N/A</v>
      </c>
      <c r="CX10" s="607"/>
      <c r="CY10" s="80" t="str">
        <f t="shared" si="20"/>
        <v>N/A</v>
      </c>
      <c r="CZ10" s="607"/>
      <c r="DA10" s="80" t="str">
        <f t="shared" si="21"/>
        <v>N/A</v>
      </c>
      <c r="DB10" s="607"/>
      <c r="DC10" s="80" t="str">
        <f t="shared" si="23"/>
        <v>N/A</v>
      </c>
      <c r="DD10" s="607"/>
      <c r="DE10" s="598">
        <v>20</v>
      </c>
      <c r="DF10" s="598" t="s">
        <v>152</v>
      </c>
      <c r="DG10" s="598">
        <v>472.4</v>
      </c>
      <c r="DH10" s="598">
        <v>315.59999999999997</v>
      </c>
      <c r="DI10" s="598"/>
      <c r="DJ10" s="598">
        <v>315.59999999999997</v>
      </c>
    </row>
    <row r="11" spans="1:114" s="241" customFormat="1" ht="34.5" customHeight="1">
      <c r="A11" s="236"/>
      <c r="B11" s="237">
        <v>8</v>
      </c>
      <c r="C11" s="246">
        <v>4</v>
      </c>
      <c r="D11" s="252" t="s">
        <v>218</v>
      </c>
      <c r="E11" s="246" t="s">
        <v>313</v>
      </c>
      <c r="F11" s="601"/>
      <c r="G11" s="584"/>
      <c r="H11" s="601"/>
      <c r="I11" s="584"/>
      <c r="J11" s="601"/>
      <c r="K11" s="584"/>
      <c r="L11" s="601"/>
      <c r="M11" s="584"/>
      <c r="N11" s="601"/>
      <c r="O11" s="584"/>
      <c r="P11" s="601"/>
      <c r="Q11" s="584"/>
      <c r="R11" s="601"/>
      <c r="S11" s="584"/>
      <c r="T11" s="601"/>
      <c r="U11" s="584"/>
      <c r="V11" s="601"/>
      <c r="W11" s="584"/>
      <c r="X11" s="601"/>
      <c r="Y11" s="584"/>
      <c r="Z11" s="601"/>
      <c r="AA11" s="584"/>
      <c r="AB11" s="601"/>
      <c r="AC11" s="584"/>
      <c r="AD11" s="601"/>
      <c r="AE11" s="584"/>
      <c r="AF11" s="601"/>
      <c r="AG11" s="584"/>
      <c r="AH11" s="601"/>
      <c r="AI11" s="584"/>
      <c r="AJ11" s="601"/>
      <c r="AK11" s="584"/>
      <c r="AL11" s="601"/>
      <c r="AM11" s="584"/>
      <c r="AN11" s="601"/>
      <c r="AO11" s="584"/>
      <c r="AP11" s="601"/>
      <c r="AQ11" s="584"/>
      <c r="AR11" s="601"/>
      <c r="AS11" s="584"/>
      <c r="AT11" s="601"/>
      <c r="AU11" s="584"/>
      <c r="AV11" s="601"/>
      <c r="AW11" s="584"/>
      <c r="AX11" s="601"/>
      <c r="AY11" s="584"/>
      <c r="AZ11" s="601"/>
      <c r="BA11" s="584"/>
      <c r="BB11" s="601"/>
      <c r="BC11" s="584"/>
      <c r="BE11" s="242"/>
      <c r="BF11" s="82">
        <v>4</v>
      </c>
      <c r="BG11" s="248" t="s">
        <v>218</v>
      </c>
      <c r="BH11" s="83" t="s">
        <v>81</v>
      </c>
      <c r="BI11" s="82" t="str">
        <f t="shared" si="22"/>
        <v>N/A</v>
      </c>
      <c r="BJ11" s="607" t="s">
        <v>85</v>
      </c>
      <c r="BK11" s="97" t="str">
        <f t="shared" si="0"/>
        <v>N/A</v>
      </c>
      <c r="BL11" s="607"/>
      <c r="BM11" s="80" t="str">
        <f t="shared" si="1"/>
        <v>N/A</v>
      </c>
      <c r="BN11" s="607"/>
      <c r="BO11" s="80" t="str">
        <f t="shared" si="2"/>
        <v>N/A</v>
      </c>
      <c r="BP11" s="607"/>
      <c r="BQ11" s="80" t="str">
        <f t="shared" si="3"/>
        <v>N/A</v>
      </c>
      <c r="BR11" s="607"/>
      <c r="BS11" s="80" t="str">
        <f t="shared" si="4"/>
        <v>N/A</v>
      </c>
      <c r="BT11" s="607"/>
      <c r="BU11" s="80" t="str">
        <f t="shared" si="5"/>
        <v>N/A</v>
      </c>
      <c r="BV11" s="607"/>
      <c r="BW11" s="80" t="str">
        <f t="shared" si="6"/>
        <v>N/A</v>
      </c>
      <c r="BX11" s="607"/>
      <c r="BY11" s="80" t="str">
        <f t="shared" si="7"/>
        <v>N/A</v>
      </c>
      <c r="BZ11" s="607"/>
      <c r="CA11" s="80" t="str">
        <f t="shared" si="8"/>
        <v>N/A</v>
      </c>
      <c r="CB11" s="607"/>
      <c r="CC11" s="80" t="str">
        <f t="shared" si="9"/>
        <v>N/A</v>
      </c>
      <c r="CD11" s="607"/>
      <c r="CE11" s="80" t="str">
        <f t="shared" si="10"/>
        <v>N/A</v>
      </c>
      <c r="CF11" s="607"/>
      <c r="CG11" s="80" t="str">
        <f t="shared" si="11"/>
        <v>N/A</v>
      </c>
      <c r="CH11" s="607"/>
      <c r="CI11" s="80" t="str">
        <f t="shared" si="12"/>
        <v>N/A</v>
      </c>
      <c r="CJ11" s="607"/>
      <c r="CK11" s="80" t="str">
        <f t="shared" si="13"/>
        <v>N/A</v>
      </c>
      <c r="CL11" s="607"/>
      <c r="CM11" s="80" t="str">
        <f t="shared" si="14"/>
        <v>N/A</v>
      </c>
      <c r="CN11" s="607"/>
      <c r="CO11" s="80" t="str">
        <f t="shared" si="15"/>
        <v>N/A</v>
      </c>
      <c r="CP11" s="607"/>
      <c r="CQ11" s="80" t="str">
        <f t="shared" si="16"/>
        <v>N/A</v>
      </c>
      <c r="CR11" s="607"/>
      <c r="CS11" s="80" t="str">
        <f t="shared" si="17"/>
        <v>N/A</v>
      </c>
      <c r="CT11" s="607"/>
      <c r="CU11" s="80" t="str">
        <f t="shared" si="18"/>
        <v>N/A</v>
      </c>
      <c r="CV11" s="607"/>
      <c r="CW11" s="80" t="str">
        <f t="shared" si="19"/>
        <v>N/A</v>
      </c>
      <c r="CX11" s="607"/>
      <c r="CY11" s="80" t="str">
        <f t="shared" si="20"/>
        <v>N/A</v>
      </c>
      <c r="CZ11" s="607"/>
      <c r="DA11" s="80" t="str">
        <f t="shared" si="21"/>
        <v>N/A</v>
      </c>
      <c r="DB11" s="607"/>
      <c r="DC11" s="80" t="str">
        <f t="shared" si="23"/>
        <v>N/A</v>
      </c>
      <c r="DD11" s="607"/>
      <c r="DE11" s="598">
        <v>24</v>
      </c>
      <c r="DF11" s="598" t="s">
        <v>342</v>
      </c>
      <c r="DG11" s="598">
        <v>1259000</v>
      </c>
      <c r="DH11" s="598">
        <v>148000</v>
      </c>
      <c r="DI11" s="598">
        <v>400</v>
      </c>
      <c r="DJ11" s="598">
        <v>148400</v>
      </c>
    </row>
    <row r="12" spans="1:114" s="256" customFormat="1" ht="34.5" customHeight="1">
      <c r="A12" s="249" t="s">
        <v>67</v>
      </c>
      <c r="B12" s="237">
        <v>124</v>
      </c>
      <c r="C12" s="253">
        <v>5</v>
      </c>
      <c r="D12" s="254" t="s">
        <v>19</v>
      </c>
      <c r="E12" s="255" t="s">
        <v>313</v>
      </c>
      <c r="F12" s="602"/>
      <c r="G12" s="585"/>
      <c r="H12" s="602"/>
      <c r="I12" s="585"/>
      <c r="J12" s="602"/>
      <c r="K12" s="585"/>
      <c r="L12" s="602"/>
      <c r="M12" s="585"/>
      <c r="N12" s="602"/>
      <c r="O12" s="585"/>
      <c r="P12" s="602"/>
      <c r="Q12" s="585"/>
      <c r="R12" s="602"/>
      <c r="S12" s="585"/>
      <c r="T12" s="602"/>
      <c r="U12" s="585"/>
      <c r="V12" s="602"/>
      <c r="W12" s="585"/>
      <c r="X12" s="602"/>
      <c r="Y12" s="585"/>
      <c r="Z12" s="602"/>
      <c r="AA12" s="585"/>
      <c r="AB12" s="602"/>
      <c r="AC12" s="585"/>
      <c r="AD12" s="602"/>
      <c r="AE12" s="585"/>
      <c r="AF12" s="602"/>
      <c r="AG12" s="585"/>
      <c r="AH12" s="602"/>
      <c r="AI12" s="585"/>
      <c r="AJ12" s="602"/>
      <c r="AK12" s="585"/>
      <c r="AL12" s="602"/>
      <c r="AM12" s="585"/>
      <c r="AN12" s="602"/>
      <c r="AO12" s="585"/>
      <c r="AP12" s="602"/>
      <c r="AQ12" s="585"/>
      <c r="AR12" s="602"/>
      <c r="AS12" s="585"/>
      <c r="AT12" s="602"/>
      <c r="AU12" s="585"/>
      <c r="AV12" s="602"/>
      <c r="AW12" s="585"/>
      <c r="AX12" s="602"/>
      <c r="AY12" s="585"/>
      <c r="AZ12" s="602"/>
      <c r="BA12" s="585"/>
      <c r="BB12" s="602"/>
      <c r="BC12" s="585"/>
      <c r="BE12" s="251"/>
      <c r="BF12" s="97">
        <v>5</v>
      </c>
      <c r="BG12" s="257" t="s">
        <v>19</v>
      </c>
      <c r="BH12" s="83" t="s">
        <v>81</v>
      </c>
      <c r="BI12" s="82" t="str">
        <f t="shared" si="22"/>
        <v>N/A</v>
      </c>
      <c r="BJ12" s="607" t="s">
        <v>85</v>
      </c>
      <c r="BK12" s="97" t="str">
        <f t="shared" si="0"/>
        <v>N/A</v>
      </c>
      <c r="BL12" s="607"/>
      <c r="BM12" s="80" t="str">
        <f t="shared" si="1"/>
        <v>N/A</v>
      </c>
      <c r="BN12" s="607"/>
      <c r="BO12" s="80" t="str">
        <f t="shared" si="2"/>
        <v>N/A</v>
      </c>
      <c r="BP12" s="607"/>
      <c r="BQ12" s="80" t="str">
        <f t="shared" si="3"/>
        <v>N/A</v>
      </c>
      <c r="BR12" s="607"/>
      <c r="BS12" s="80" t="str">
        <f t="shared" si="4"/>
        <v>N/A</v>
      </c>
      <c r="BT12" s="607"/>
      <c r="BU12" s="80" t="str">
        <f t="shared" si="5"/>
        <v>N/A</v>
      </c>
      <c r="BV12" s="607"/>
      <c r="BW12" s="80" t="str">
        <f t="shared" si="6"/>
        <v>N/A</v>
      </c>
      <c r="BX12" s="607"/>
      <c r="BY12" s="80" t="str">
        <f t="shared" si="7"/>
        <v>N/A</v>
      </c>
      <c r="BZ12" s="607"/>
      <c r="CA12" s="80" t="str">
        <f t="shared" si="8"/>
        <v>N/A</v>
      </c>
      <c r="CB12" s="607"/>
      <c r="CC12" s="80" t="str">
        <f t="shared" si="9"/>
        <v>N/A</v>
      </c>
      <c r="CD12" s="607"/>
      <c r="CE12" s="80" t="str">
        <f t="shared" si="10"/>
        <v>N/A</v>
      </c>
      <c r="CF12" s="607"/>
      <c r="CG12" s="80" t="str">
        <f t="shared" si="11"/>
        <v>N/A</v>
      </c>
      <c r="CH12" s="607"/>
      <c r="CI12" s="80" t="str">
        <f t="shared" si="12"/>
        <v>N/A</v>
      </c>
      <c r="CJ12" s="607"/>
      <c r="CK12" s="80" t="str">
        <f t="shared" si="13"/>
        <v>N/A</v>
      </c>
      <c r="CL12" s="607"/>
      <c r="CM12" s="80" t="str">
        <f t="shared" si="14"/>
        <v>N/A</v>
      </c>
      <c r="CN12" s="607"/>
      <c r="CO12" s="80" t="str">
        <f t="shared" si="15"/>
        <v>N/A</v>
      </c>
      <c r="CP12" s="607"/>
      <c r="CQ12" s="80" t="str">
        <f t="shared" si="16"/>
        <v>N/A</v>
      </c>
      <c r="CR12" s="607"/>
      <c r="CS12" s="80" t="str">
        <f t="shared" si="17"/>
        <v>N/A</v>
      </c>
      <c r="CT12" s="607"/>
      <c r="CU12" s="80" t="str">
        <f t="shared" si="18"/>
        <v>N/A</v>
      </c>
      <c r="CV12" s="607"/>
      <c r="CW12" s="80" t="str">
        <f t="shared" si="19"/>
        <v>N/A</v>
      </c>
      <c r="CX12" s="607"/>
      <c r="CY12" s="80" t="str">
        <f t="shared" si="20"/>
        <v>N/A</v>
      </c>
      <c r="CZ12" s="607"/>
      <c r="DA12" s="80" t="str">
        <f t="shared" si="21"/>
        <v>N/A</v>
      </c>
      <c r="DB12" s="607"/>
      <c r="DC12" s="80" t="str">
        <f t="shared" si="23"/>
        <v>N/A</v>
      </c>
      <c r="DD12" s="607"/>
      <c r="DE12" s="598">
        <v>28</v>
      </c>
      <c r="DF12" s="598" t="s">
        <v>343</v>
      </c>
      <c r="DG12" s="598">
        <v>453.2</v>
      </c>
      <c r="DH12" s="598">
        <v>52</v>
      </c>
      <c r="DI12" s="598">
        <v>0</v>
      </c>
      <c r="DJ12" s="598">
        <v>52</v>
      </c>
    </row>
    <row r="13" spans="1:114" s="256" customFormat="1" ht="34.5" customHeight="1">
      <c r="A13" s="258" t="s">
        <v>67</v>
      </c>
      <c r="B13" s="237">
        <v>127</v>
      </c>
      <c r="C13" s="246">
        <v>6</v>
      </c>
      <c r="D13" s="252" t="s">
        <v>216</v>
      </c>
      <c r="E13" s="259" t="s">
        <v>313</v>
      </c>
      <c r="F13" s="601"/>
      <c r="G13" s="584"/>
      <c r="H13" s="601"/>
      <c r="I13" s="584"/>
      <c r="J13" s="601"/>
      <c r="K13" s="584"/>
      <c r="L13" s="601"/>
      <c r="M13" s="584"/>
      <c r="N13" s="601"/>
      <c r="O13" s="584"/>
      <c r="P13" s="601"/>
      <c r="Q13" s="584"/>
      <c r="R13" s="601"/>
      <c r="S13" s="584"/>
      <c r="T13" s="601"/>
      <c r="U13" s="584"/>
      <c r="V13" s="601"/>
      <c r="W13" s="584"/>
      <c r="X13" s="601"/>
      <c r="Y13" s="584"/>
      <c r="Z13" s="601"/>
      <c r="AA13" s="584"/>
      <c r="AB13" s="601"/>
      <c r="AC13" s="584"/>
      <c r="AD13" s="601"/>
      <c r="AE13" s="584"/>
      <c r="AF13" s="601"/>
      <c r="AG13" s="584"/>
      <c r="AH13" s="601"/>
      <c r="AI13" s="584"/>
      <c r="AJ13" s="601"/>
      <c r="AK13" s="584"/>
      <c r="AL13" s="601"/>
      <c r="AM13" s="584"/>
      <c r="AN13" s="601"/>
      <c r="AO13" s="584"/>
      <c r="AP13" s="601"/>
      <c r="AQ13" s="584"/>
      <c r="AR13" s="601"/>
      <c r="AS13" s="584"/>
      <c r="AT13" s="601"/>
      <c r="AU13" s="584"/>
      <c r="AV13" s="601"/>
      <c r="AW13" s="584"/>
      <c r="AX13" s="601"/>
      <c r="AY13" s="584"/>
      <c r="AZ13" s="601"/>
      <c r="BA13" s="584"/>
      <c r="BB13" s="601"/>
      <c r="BC13" s="584"/>
      <c r="BE13" s="251"/>
      <c r="BF13" s="97">
        <v>6</v>
      </c>
      <c r="BG13" s="248" t="s">
        <v>493</v>
      </c>
      <c r="BH13" s="83" t="s">
        <v>81</v>
      </c>
      <c r="BI13" s="260" t="str">
        <f t="shared" si="22"/>
        <v>N/A</v>
      </c>
      <c r="BJ13" s="608" t="s">
        <v>85</v>
      </c>
      <c r="BK13" s="82" t="str">
        <f t="shared" si="0"/>
        <v>N/A</v>
      </c>
      <c r="BL13" s="608"/>
      <c r="BM13" s="80" t="str">
        <f t="shared" si="1"/>
        <v>N/A</v>
      </c>
      <c r="BN13" s="608"/>
      <c r="BO13" s="83" t="str">
        <f t="shared" si="2"/>
        <v>N/A</v>
      </c>
      <c r="BP13" s="607"/>
      <c r="BQ13" s="83" t="str">
        <f t="shared" si="3"/>
        <v>N/A</v>
      </c>
      <c r="BR13" s="607"/>
      <c r="BS13" s="83" t="str">
        <f t="shared" si="4"/>
        <v>N/A</v>
      </c>
      <c r="BT13" s="607"/>
      <c r="BU13" s="83" t="str">
        <f t="shared" si="5"/>
        <v>N/A</v>
      </c>
      <c r="BV13" s="607"/>
      <c r="BW13" s="83" t="str">
        <f t="shared" si="6"/>
        <v>N/A</v>
      </c>
      <c r="BX13" s="607"/>
      <c r="BY13" s="83" t="str">
        <f t="shared" si="7"/>
        <v>N/A</v>
      </c>
      <c r="BZ13" s="607"/>
      <c r="CA13" s="83" t="str">
        <f t="shared" si="8"/>
        <v>N/A</v>
      </c>
      <c r="CB13" s="607"/>
      <c r="CC13" s="83" t="str">
        <f t="shared" si="9"/>
        <v>N/A</v>
      </c>
      <c r="CD13" s="607"/>
      <c r="CE13" s="83" t="str">
        <f t="shared" si="10"/>
        <v>N/A</v>
      </c>
      <c r="CF13" s="607"/>
      <c r="CG13" s="80" t="str">
        <f t="shared" si="11"/>
        <v>N/A</v>
      </c>
      <c r="CH13" s="608"/>
      <c r="CI13" s="80" t="str">
        <f t="shared" si="12"/>
        <v>N/A</v>
      </c>
      <c r="CJ13" s="608"/>
      <c r="CK13" s="80" t="str">
        <f t="shared" si="13"/>
        <v>N/A</v>
      </c>
      <c r="CL13" s="608"/>
      <c r="CM13" s="80" t="str">
        <f t="shared" si="14"/>
        <v>N/A</v>
      </c>
      <c r="CN13" s="608"/>
      <c r="CO13" s="80" t="str">
        <f t="shared" si="15"/>
        <v>N/A</v>
      </c>
      <c r="CP13" s="608"/>
      <c r="CQ13" s="80" t="str">
        <f t="shared" si="16"/>
        <v>N/A</v>
      </c>
      <c r="CR13" s="608"/>
      <c r="CS13" s="80" t="str">
        <f t="shared" si="17"/>
        <v>N/A</v>
      </c>
      <c r="CT13" s="608"/>
      <c r="CU13" s="80" t="str">
        <f t="shared" si="18"/>
        <v>N/A</v>
      </c>
      <c r="CV13" s="608"/>
      <c r="CW13" s="80" t="str">
        <f t="shared" si="19"/>
        <v>N/A</v>
      </c>
      <c r="CX13" s="608"/>
      <c r="CY13" s="80" t="str">
        <f t="shared" si="20"/>
        <v>N/A</v>
      </c>
      <c r="CZ13" s="608"/>
      <c r="DA13" s="80" t="str">
        <f t="shared" si="21"/>
        <v>N/A</v>
      </c>
      <c r="DB13" s="608"/>
      <c r="DC13" s="80" t="str">
        <f t="shared" si="23"/>
        <v>N/A</v>
      </c>
      <c r="DD13" s="608"/>
      <c r="DE13" s="598">
        <v>32</v>
      </c>
      <c r="DF13" s="598" t="s">
        <v>344</v>
      </c>
      <c r="DG13" s="598">
        <v>1643000</v>
      </c>
      <c r="DH13" s="598">
        <v>292000</v>
      </c>
      <c r="DI13" s="598">
        <v>516299.99999999994</v>
      </c>
      <c r="DJ13" s="598">
        <v>876200</v>
      </c>
    </row>
    <row r="14" spans="1:114" s="256" customFormat="1" ht="34.5" customHeight="1">
      <c r="A14" s="249"/>
      <c r="B14" s="237">
        <v>125</v>
      </c>
      <c r="C14" s="259">
        <v>7</v>
      </c>
      <c r="D14" s="261" t="s">
        <v>287</v>
      </c>
      <c r="E14" s="259" t="s">
        <v>313</v>
      </c>
      <c r="F14" s="603"/>
      <c r="G14" s="589"/>
      <c r="H14" s="603"/>
      <c r="I14" s="589"/>
      <c r="J14" s="603"/>
      <c r="K14" s="589"/>
      <c r="L14" s="603"/>
      <c r="M14" s="589"/>
      <c r="N14" s="603"/>
      <c r="O14" s="589"/>
      <c r="P14" s="603"/>
      <c r="Q14" s="589"/>
      <c r="R14" s="603"/>
      <c r="S14" s="589"/>
      <c r="T14" s="603"/>
      <c r="U14" s="589"/>
      <c r="V14" s="603"/>
      <c r="W14" s="589"/>
      <c r="X14" s="603"/>
      <c r="Y14" s="589"/>
      <c r="Z14" s="603"/>
      <c r="AA14" s="589"/>
      <c r="AB14" s="603"/>
      <c r="AC14" s="589"/>
      <c r="AD14" s="603"/>
      <c r="AE14" s="589"/>
      <c r="AF14" s="603"/>
      <c r="AG14" s="589"/>
      <c r="AH14" s="603"/>
      <c r="AI14" s="589"/>
      <c r="AJ14" s="603"/>
      <c r="AK14" s="589"/>
      <c r="AL14" s="603"/>
      <c r="AM14" s="589"/>
      <c r="AN14" s="603"/>
      <c r="AO14" s="589"/>
      <c r="AP14" s="603"/>
      <c r="AQ14" s="589"/>
      <c r="AR14" s="603"/>
      <c r="AS14" s="589"/>
      <c r="AT14" s="603"/>
      <c r="AU14" s="589"/>
      <c r="AV14" s="603"/>
      <c r="AW14" s="589"/>
      <c r="AX14" s="603"/>
      <c r="AY14" s="589"/>
      <c r="AZ14" s="603"/>
      <c r="BA14" s="589"/>
      <c r="BB14" s="603"/>
      <c r="BC14" s="589"/>
      <c r="BE14" s="251"/>
      <c r="BF14" s="82">
        <v>7</v>
      </c>
      <c r="BG14" s="262" t="s">
        <v>509</v>
      </c>
      <c r="BH14" s="83" t="s">
        <v>81</v>
      </c>
      <c r="BI14" s="260" t="str">
        <f t="shared" si="22"/>
        <v>N/A</v>
      </c>
      <c r="BJ14" s="608" t="s">
        <v>85</v>
      </c>
      <c r="BK14" s="82" t="str">
        <f t="shared" si="0"/>
        <v>N/A</v>
      </c>
      <c r="BL14" s="608"/>
      <c r="BM14" s="80" t="str">
        <f t="shared" si="1"/>
        <v>N/A</v>
      </c>
      <c r="BN14" s="608"/>
      <c r="BO14" s="600" t="str">
        <f t="shared" si="2"/>
        <v>N/A</v>
      </c>
      <c r="BP14" s="609"/>
      <c r="BQ14" s="600" t="str">
        <f t="shared" si="3"/>
        <v>N/A</v>
      </c>
      <c r="BR14" s="609"/>
      <c r="BS14" s="600" t="str">
        <f t="shared" si="4"/>
        <v>N/A</v>
      </c>
      <c r="BT14" s="609"/>
      <c r="BU14" s="600" t="str">
        <f t="shared" si="5"/>
        <v>N/A</v>
      </c>
      <c r="BV14" s="609"/>
      <c r="BW14" s="600" t="str">
        <f t="shared" si="6"/>
        <v>N/A</v>
      </c>
      <c r="BX14" s="609"/>
      <c r="BY14" s="600" t="str">
        <f t="shared" si="7"/>
        <v>N/A</v>
      </c>
      <c r="BZ14" s="609"/>
      <c r="CA14" s="600" t="str">
        <f t="shared" si="8"/>
        <v>N/A</v>
      </c>
      <c r="CB14" s="609"/>
      <c r="CC14" s="600" t="str">
        <f t="shared" si="9"/>
        <v>N/A</v>
      </c>
      <c r="CD14" s="609"/>
      <c r="CE14" s="600" t="str">
        <f t="shared" si="10"/>
        <v>N/A</v>
      </c>
      <c r="CF14" s="608"/>
      <c r="CG14" s="80" t="str">
        <f t="shared" si="11"/>
        <v>N/A</v>
      </c>
      <c r="CH14" s="608"/>
      <c r="CI14" s="80" t="str">
        <f t="shared" si="12"/>
        <v>N/A</v>
      </c>
      <c r="CJ14" s="608"/>
      <c r="CK14" s="80" t="str">
        <f t="shared" si="13"/>
        <v>N/A</v>
      </c>
      <c r="CL14" s="608"/>
      <c r="CM14" s="80" t="str">
        <f t="shared" si="14"/>
        <v>N/A</v>
      </c>
      <c r="CN14" s="608"/>
      <c r="CO14" s="80" t="str">
        <f t="shared" si="15"/>
        <v>N/A</v>
      </c>
      <c r="CP14" s="608"/>
      <c r="CQ14" s="80" t="str">
        <f t="shared" si="16"/>
        <v>N/A</v>
      </c>
      <c r="CR14" s="608"/>
      <c r="CS14" s="80" t="str">
        <f t="shared" si="17"/>
        <v>N/A</v>
      </c>
      <c r="CT14" s="608"/>
      <c r="CU14" s="80" t="str">
        <f t="shared" si="18"/>
        <v>N/A</v>
      </c>
      <c r="CV14" s="608"/>
      <c r="CW14" s="80" t="str">
        <f t="shared" si="19"/>
        <v>N/A</v>
      </c>
      <c r="CX14" s="608"/>
      <c r="CY14" s="80" t="str">
        <f t="shared" si="20"/>
        <v>N/A</v>
      </c>
      <c r="CZ14" s="608"/>
      <c r="DA14" s="80" t="str">
        <f t="shared" si="21"/>
        <v>N/A</v>
      </c>
      <c r="DB14" s="608"/>
      <c r="DC14" s="80" t="str">
        <f t="shared" si="23"/>
        <v>N/A</v>
      </c>
      <c r="DD14" s="608"/>
      <c r="DE14" s="598">
        <v>51</v>
      </c>
      <c r="DF14" s="598" t="s">
        <v>345</v>
      </c>
      <c r="DG14" s="598">
        <v>16710</v>
      </c>
      <c r="DH14" s="598">
        <v>6859</v>
      </c>
      <c r="DI14" s="598">
        <v>0</v>
      </c>
      <c r="DJ14" s="598">
        <v>7769</v>
      </c>
    </row>
    <row r="15" spans="1:114" s="256" customFormat="1" ht="20.25" customHeight="1">
      <c r="A15" s="249"/>
      <c r="B15" s="237">
        <v>126</v>
      </c>
      <c r="C15" s="259">
        <v>8</v>
      </c>
      <c r="D15" s="263" t="s">
        <v>288</v>
      </c>
      <c r="E15" s="259" t="s">
        <v>313</v>
      </c>
      <c r="F15" s="604"/>
      <c r="G15" s="586"/>
      <c r="H15" s="604"/>
      <c r="I15" s="586"/>
      <c r="J15" s="604"/>
      <c r="K15" s="586"/>
      <c r="L15" s="604"/>
      <c r="M15" s="586"/>
      <c r="N15" s="604"/>
      <c r="O15" s="586"/>
      <c r="P15" s="604"/>
      <c r="Q15" s="586"/>
      <c r="R15" s="604"/>
      <c r="S15" s="586"/>
      <c r="T15" s="604"/>
      <c r="U15" s="586"/>
      <c r="V15" s="604"/>
      <c r="W15" s="586"/>
      <c r="X15" s="604"/>
      <c r="Y15" s="586"/>
      <c r="Z15" s="604"/>
      <c r="AA15" s="586"/>
      <c r="AB15" s="604"/>
      <c r="AC15" s="586"/>
      <c r="AD15" s="604"/>
      <c r="AE15" s="586"/>
      <c r="AF15" s="604"/>
      <c r="AG15" s="586"/>
      <c r="AH15" s="604"/>
      <c r="AI15" s="586"/>
      <c r="AJ15" s="604"/>
      <c r="AK15" s="586"/>
      <c r="AL15" s="604"/>
      <c r="AM15" s="586"/>
      <c r="AN15" s="604"/>
      <c r="AO15" s="586"/>
      <c r="AP15" s="604"/>
      <c r="AQ15" s="586"/>
      <c r="AR15" s="604"/>
      <c r="AS15" s="586"/>
      <c r="AT15" s="604"/>
      <c r="AU15" s="586"/>
      <c r="AV15" s="604"/>
      <c r="AW15" s="586"/>
      <c r="AX15" s="604"/>
      <c r="AY15" s="586"/>
      <c r="AZ15" s="604"/>
      <c r="BA15" s="586"/>
      <c r="BB15" s="604"/>
      <c r="BC15" s="586"/>
      <c r="BE15" s="251"/>
      <c r="BF15" s="97">
        <v>8</v>
      </c>
      <c r="BG15" s="264" t="s">
        <v>131</v>
      </c>
      <c r="BH15" s="83" t="s">
        <v>81</v>
      </c>
      <c r="BI15" s="260" t="str">
        <f t="shared" si="22"/>
        <v>N/A</v>
      </c>
      <c r="BJ15" s="608" t="s">
        <v>85</v>
      </c>
      <c r="BK15" s="82" t="str">
        <f t="shared" si="0"/>
        <v>N/A</v>
      </c>
      <c r="BL15" s="607"/>
      <c r="BM15" s="80" t="str">
        <f t="shared" si="1"/>
        <v>N/A</v>
      </c>
      <c r="BN15" s="608"/>
      <c r="BO15" s="83" t="str">
        <f t="shared" si="2"/>
        <v>N/A</v>
      </c>
      <c r="BP15" s="607"/>
      <c r="BQ15" s="83" t="str">
        <f t="shared" si="3"/>
        <v>N/A</v>
      </c>
      <c r="BR15" s="607"/>
      <c r="BS15" s="83" t="str">
        <f t="shared" si="4"/>
        <v>N/A</v>
      </c>
      <c r="BT15" s="607"/>
      <c r="BU15" s="83" t="str">
        <f t="shared" si="5"/>
        <v>N/A</v>
      </c>
      <c r="BV15" s="607"/>
      <c r="BW15" s="83" t="str">
        <f t="shared" si="6"/>
        <v>N/A</v>
      </c>
      <c r="BX15" s="607"/>
      <c r="BY15" s="83" t="str">
        <f t="shared" si="7"/>
        <v>N/A</v>
      </c>
      <c r="BZ15" s="607"/>
      <c r="CA15" s="83" t="str">
        <f t="shared" si="8"/>
        <v>N/A</v>
      </c>
      <c r="CB15" s="607"/>
      <c r="CC15" s="83" t="str">
        <f t="shared" si="9"/>
        <v>N/A</v>
      </c>
      <c r="CD15" s="607"/>
      <c r="CE15" s="83" t="str">
        <f t="shared" si="10"/>
        <v>N/A</v>
      </c>
      <c r="CF15" s="607"/>
      <c r="CG15" s="80" t="str">
        <f t="shared" si="11"/>
        <v>N/A</v>
      </c>
      <c r="CH15" s="608"/>
      <c r="CI15" s="80" t="str">
        <f t="shared" si="12"/>
        <v>N/A</v>
      </c>
      <c r="CJ15" s="608"/>
      <c r="CK15" s="80" t="str">
        <f t="shared" si="13"/>
        <v>N/A</v>
      </c>
      <c r="CL15" s="608"/>
      <c r="CM15" s="80" t="str">
        <f t="shared" si="14"/>
        <v>N/A</v>
      </c>
      <c r="CN15" s="608"/>
      <c r="CO15" s="80" t="str">
        <f t="shared" si="15"/>
        <v>N/A</v>
      </c>
      <c r="CP15" s="608"/>
      <c r="CQ15" s="80" t="str">
        <f t="shared" si="16"/>
        <v>N/A</v>
      </c>
      <c r="CR15" s="608"/>
      <c r="CS15" s="80" t="str">
        <f t="shared" si="17"/>
        <v>N/A</v>
      </c>
      <c r="CT15" s="608"/>
      <c r="CU15" s="80" t="str">
        <f t="shared" si="18"/>
        <v>N/A</v>
      </c>
      <c r="CV15" s="608"/>
      <c r="CW15" s="80" t="str">
        <f t="shared" si="19"/>
        <v>N/A</v>
      </c>
      <c r="CX15" s="608"/>
      <c r="CY15" s="80" t="str">
        <f t="shared" si="20"/>
        <v>N/A</v>
      </c>
      <c r="CZ15" s="608"/>
      <c r="DA15" s="80" t="str">
        <f t="shared" si="21"/>
        <v>N/A</v>
      </c>
      <c r="DB15" s="608"/>
      <c r="DC15" s="80" t="str">
        <f t="shared" si="23"/>
        <v>N/A</v>
      </c>
      <c r="DD15" s="608"/>
      <c r="DE15" s="598">
        <v>31</v>
      </c>
      <c r="DF15" s="598" t="s">
        <v>346</v>
      </c>
      <c r="DG15" s="598">
        <v>38710</v>
      </c>
      <c r="DH15" s="598">
        <v>8115</v>
      </c>
      <c r="DI15" s="598">
        <v>19760</v>
      </c>
      <c r="DJ15" s="598">
        <v>34680</v>
      </c>
    </row>
    <row r="16" spans="1:114" s="256" customFormat="1" ht="30" customHeight="1">
      <c r="A16" s="249"/>
      <c r="B16" s="237">
        <v>128</v>
      </c>
      <c r="C16" s="265">
        <v>9</v>
      </c>
      <c r="D16" s="266" t="s">
        <v>88</v>
      </c>
      <c r="E16" s="265" t="s">
        <v>313</v>
      </c>
      <c r="F16" s="605"/>
      <c r="G16" s="587"/>
      <c r="H16" s="605"/>
      <c r="I16" s="587"/>
      <c r="J16" s="605"/>
      <c r="K16" s="587"/>
      <c r="L16" s="605"/>
      <c r="M16" s="587"/>
      <c r="N16" s="605"/>
      <c r="O16" s="587"/>
      <c r="P16" s="605"/>
      <c r="Q16" s="587"/>
      <c r="R16" s="605"/>
      <c r="S16" s="587"/>
      <c r="T16" s="605"/>
      <c r="U16" s="587"/>
      <c r="V16" s="605"/>
      <c r="W16" s="587"/>
      <c r="X16" s="605"/>
      <c r="Y16" s="587"/>
      <c r="Z16" s="605"/>
      <c r="AA16" s="587"/>
      <c r="AB16" s="605"/>
      <c r="AC16" s="587"/>
      <c r="AD16" s="605"/>
      <c r="AE16" s="587"/>
      <c r="AF16" s="605"/>
      <c r="AG16" s="587"/>
      <c r="AH16" s="605"/>
      <c r="AI16" s="587"/>
      <c r="AJ16" s="605"/>
      <c r="AK16" s="587"/>
      <c r="AL16" s="605"/>
      <c r="AM16" s="587"/>
      <c r="AN16" s="605"/>
      <c r="AO16" s="587"/>
      <c r="AP16" s="605"/>
      <c r="AQ16" s="587"/>
      <c r="AR16" s="605"/>
      <c r="AS16" s="587"/>
      <c r="AT16" s="605"/>
      <c r="AU16" s="587"/>
      <c r="AV16" s="605"/>
      <c r="AW16" s="587"/>
      <c r="AX16" s="605"/>
      <c r="AY16" s="587"/>
      <c r="AZ16" s="605"/>
      <c r="BA16" s="587"/>
      <c r="BB16" s="605"/>
      <c r="BC16" s="587"/>
      <c r="BE16" s="251"/>
      <c r="BF16" s="268">
        <v>9</v>
      </c>
      <c r="BG16" s="264" t="s">
        <v>88</v>
      </c>
      <c r="BH16" s="83" t="s">
        <v>81</v>
      </c>
      <c r="BI16" s="260" t="str">
        <f t="shared" si="22"/>
        <v>N/A</v>
      </c>
      <c r="BJ16" s="608" t="s">
        <v>85</v>
      </c>
      <c r="BK16" s="268" t="str">
        <f t="shared" si="0"/>
        <v>N/A</v>
      </c>
      <c r="BL16" s="609"/>
      <c r="BM16" s="80" t="str">
        <f t="shared" si="1"/>
        <v>N/A</v>
      </c>
      <c r="BN16" s="608"/>
      <c r="BO16" s="600" t="str">
        <f t="shared" si="2"/>
        <v>N/A</v>
      </c>
      <c r="BP16" s="609"/>
      <c r="BQ16" s="600" t="str">
        <f t="shared" si="3"/>
        <v>N/A</v>
      </c>
      <c r="BR16" s="609"/>
      <c r="BS16" s="600" t="str">
        <f t="shared" si="4"/>
        <v>N/A</v>
      </c>
      <c r="BT16" s="609"/>
      <c r="BU16" s="600" t="str">
        <f t="shared" si="5"/>
        <v>N/A</v>
      </c>
      <c r="BV16" s="609"/>
      <c r="BW16" s="600" t="str">
        <f t="shared" si="6"/>
        <v>N/A</v>
      </c>
      <c r="BX16" s="609"/>
      <c r="BY16" s="600" t="str">
        <f t="shared" si="7"/>
        <v>N/A</v>
      </c>
      <c r="BZ16" s="609"/>
      <c r="CA16" s="600" t="str">
        <f t="shared" si="8"/>
        <v>N/A</v>
      </c>
      <c r="CB16" s="609"/>
      <c r="CC16" s="600" t="str">
        <f t="shared" si="9"/>
        <v>N/A</v>
      </c>
      <c r="CD16" s="609"/>
      <c r="CE16" s="600" t="str">
        <f t="shared" si="10"/>
        <v>N/A</v>
      </c>
      <c r="CF16" s="609"/>
      <c r="CG16" s="80" t="str">
        <f t="shared" si="11"/>
        <v>N/A</v>
      </c>
      <c r="CH16" s="608"/>
      <c r="CI16" s="80" t="str">
        <f t="shared" si="12"/>
        <v>N/A</v>
      </c>
      <c r="CJ16" s="608"/>
      <c r="CK16" s="80" t="str">
        <f t="shared" si="13"/>
        <v>N/A</v>
      </c>
      <c r="CL16" s="608"/>
      <c r="CM16" s="80" t="str">
        <f t="shared" si="14"/>
        <v>N/A</v>
      </c>
      <c r="CN16" s="608"/>
      <c r="CO16" s="80" t="str">
        <f t="shared" si="15"/>
        <v>N/A</v>
      </c>
      <c r="CP16" s="608"/>
      <c r="CQ16" s="80" t="str">
        <f t="shared" si="16"/>
        <v>N/A</v>
      </c>
      <c r="CR16" s="608"/>
      <c r="CS16" s="80" t="str">
        <f t="shared" si="17"/>
        <v>N/A</v>
      </c>
      <c r="CT16" s="608"/>
      <c r="CU16" s="80" t="str">
        <f t="shared" si="18"/>
        <v>N/A</v>
      </c>
      <c r="CV16" s="608"/>
      <c r="CW16" s="80" t="str">
        <f t="shared" si="19"/>
        <v>N/A</v>
      </c>
      <c r="CX16" s="608"/>
      <c r="CY16" s="80" t="str">
        <f t="shared" si="20"/>
        <v>N/A</v>
      </c>
      <c r="CZ16" s="608"/>
      <c r="DA16" s="80" t="str">
        <f t="shared" si="21"/>
        <v>N/A</v>
      </c>
      <c r="DB16" s="608"/>
      <c r="DC16" s="80" t="str">
        <f t="shared" si="23"/>
        <v>N/A</v>
      </c>
      <c r="DD16" s="608"/>
      <c r="DE16" s="598">
        <v>44</v>
      </c>
      <c r="DF16" s="598" t="s">
        <v>347</v>
      </c>
      <c r="DG16" s="598">
        <v>17930</v>
      </c>
      <c r="DH16" s="598">
        <v>700</v>
      </c>
      <c r="DI16" s="598">
        <v>0</v>
      </c>
      <c r="DJ16" s="598">
        <v>700</v>
      </c>
    </row>
    <row r="17" spans="1:114" s="256" customFormat="1" ht="21" customHeight="1">
      <c r="A17" s="236"/>
      <c r="B17" s="237"/>
      <c r="C17" s="269"/>
      <c r="D17" s="270"/>
      <c r="E17" s="269"/>
      <c r="F17" s="241"/>
      <c r="G17" s="269"/>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2"/>
      <c r="BF17" s="95"/>
      <c r="BG17" s="271"/>
      <c r="BH17" s="81"/>
      <c r="BI17" s="95"/>
      <c r="BJ17" s="610"/>
      <c r="BK17" s="95"/>
      <c r="BL17" s="610"/>
      <c r="BM17" s="81"/>
      <c r="BN17" s="610"/>
      <c r="BO17" s="610"/>
      <c r="BP17" s="610"/>
      <c r="BQ17" s="610"/>
      <c r="BR17" s="610"/>
      <c r="BS17" s="610"/>
      <c r="BT17" s="610"/>
      <c r="BU17" s="81"/>
      <c r="BV17" s="610"/>
      <c r="BW17" s="81"/>
      <c r="BX17" s="610"/>
      <c r="BY17" s="81"/>
      <c r="BZ17" s="610"/>
      <c r="CA17" s="81"/>
      <c r="CB17" s="610"/>
      <c r="CC17" s="81"/>
      <c r="CD17" s="610"/>
      <c r="CE17" s="81"/>
      <c r="CF17" s="610"/>
      <c r="CG17" s="81"/>
      <c r="CH17" s="610"/>
      <c r="CI17" s="81"/>
      <c r="CJ17" s="610"/>
      <c r="CK17" s="81"/>
      <c r="CL17" s="610"/>
      <c r="CM17" s="81"/>
      <c r="CN17" s="610"/>
      <c r="CO17" s="81"/>
      <c r="CP17" s="610"/>
      <c r="CQ17" s="81"/>
      <c r="CR17" s="610"/>
      <c r="CS17" s="81"/>
      <c r="CT17" s="610"/>
      <c r="CU17" s="81"/>
      <c r="CV17" s="610"/>
      <c r="CW17" s="81"/>
      <c r="CX17" s="610"/>
      <c r="CY17" s="81"/>
      <c r="CZ17" s="610"/>
      <c r="DA17" s="81"/>
      <c r="DB17" s="610"/>
      <c r="DC17" s="81"/>
      <c r="DD17" s="610"/>
      <c r="DE17" s="598">
        <v>48</v>
      </c>
      <c r="DF17" s="598" t="s">
        <v>348</v>
      </c>
      <c r="DG17" s="598">
        <v>64</v>
      </c>
      <c r="DH17" s="598">
        <v>4</v>
      </c>
      <c r="DI17" s="598">
        <v>0</v>
      </c>
      <c r="DJ17" s="598">
        <v>116</v>
      </c>
    </row>
    <row r="18" spans="1:114" s="241" customFormat="1" ht="6.75" customHeight="1">
      <c r="A18" s="180"/>
      <c r="B18" s="237"/>
      <c r="C18" s="193"/>
      <c r="D18" s="218"/>
      <c r="E18" s="272"/>
      <c r="F18" s="193"/>
      <c r="G18" s="221"/>
      <c r="H18" s="222"/>
      <c r="I18" s="223"/>
      <c r="J18" s="222"/>
      <c r="K18" s="223"/>
      <c r="L18" s="222"/>
      <c r="M18" s="223"/>
      <c r="N18" s="222"/>
      <c r="O18" s="223"/>
      <c r="P18" s="222"/>
      <c r="Q18" s="223"/>
      <c r="R18" s="222"/>
      <c r="S18" s="223"/>
      <c r="T18" s="222"/>
      <c r="U18" s="223"/>
      <c r="V18" s="222"/>
      <c r="W18" s="221"/>
      <c r="X18" s="222"/>
      <c r="Y18" s="221"/>
      <c r="Z18" s="222"/>
      <c r="AA18" s="221"/>
      <c r="AB18" s="222"/>
      <c r="AC18" s="221"/>
      <c r="AD18" s="222"/>
      <c r="AE18" s="221"/>
      <c r="AF18" s="222"/>
      <c r="AG18" s="221"/>
      <c r="AH18" s="222"/>
      <c r="AI18" s="223"/>
      <c r="AJ18" s="222"/>
      <c r="AK18" s="221"/>
      <c r="AL18" s="222"/>
      <c r="AM18" s="221"/>
      <c r="AN18" s="222"/>
      <c r="AO18" s="221"/>
      <c r="AP18" s="221"/>
      <c r="AQ18" s="221"/>
      <c r="AR18" s="221"/>
      <c r="AS18" s="221"/>
      <c r="AT18" s="222"/>
      <c r="AU18" s="220"/>
      <c r="AV18" s="193"/>
      <c r="AW18" s="193"/>
      <c r="AX18" s="222"/>
      <c r="AY18" s="220"/>
      <c r="AZ18" s="193"/>
      <c r="BA18" s="193"/>
      <c r="BB18" s="193"/>
      <c r="BC18" s="193"/>
      <c r="BD18" s="193"/>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c r="CU18" s="191"/>
      <c r="CV18" s="191"/>
      <c r="CW18" s="191"/>
      <c r="CX18" s="191"/>
      <c r="CY18" s="191"/>
      <c r="CZ18" s="191"/>
      <c r="DA18" s="191"/>
      <c r="DB18" s="191"/>
      <c r="DC18" s="191"/>
      <c r="DD18" s="191"/>
      <c r="DE18" s="598">
        <v>50</v>
      </c>
      <c r="DF18" s="598" t="s">
        <v>349</v>
      </c>
      <c r="DG18" s="598">
        <v>393600</v>
      </c>
      <c r="DH18" s="598">
        <v>105000</v>
      </c>
      <c r="DI18" s="598">
        <v>1122000</v>
      </c>
      <c r="DJ18" s="598">
        <v>1227000</v>
      </c>
    </row>
    <row r="19" spans="3:114" ht="10.5" customHeight="1">
      <c r="C19" s="273" t="s">
        <v>304</v>
      </c>
      <c r="D19" s="274"/>
      <c r="E19" s="275"/>
      <c r="F19" s="273"/>
      <c r="G19" s="225"/>
      <c r="H19" s="276"/>
      <c r="I19" s="277"/>
      <c r="J19" s="276"/>
      <c r="K19" s="277"/>
      <c r="L19" s="276"/>
      <c r="M19" s="277"/>
      <c r="N19" s="276"/>
      <c r="O19" s="277"/>
      <c r="P19" s="276"/>
      <c r="Q19" s="277"/>
      <c r="R19" s="276"/>
      <c r="S19" s="277"/>
      <c r="T19" s="276"/>
      <c r="U19" s="277"/>
      <c r="V19" s="276"/>
      <c r="W19" s="225"/>
      <c r="X19" s="276"/>
      <c r="Y19" s="225"/>
      <c r="Z19" s="276"/>
      <c r="AA19" s="225"/>
      <c r="AB19" s="276"/>
      <c r="AC19" s="225"/>
      <c r="AD19" s="276"/>
      <c r="AE19" s="225"/>
      <c r="AF19" s="276"/>
      <c r="AG19" s="225"/>
      <c r="AH19" s="276"/>
      <c r="AI19" s="277"/>
      <c r="AJ19" s="276"/>
      <c r="AK19" s="225"/>
      <c r="AL19" s="276"/>
      <c r="AM19" s="225"/>
      <c r="AN19" s="276"/>
      <c r="AO19" s="225"/>
      <c r="AP19" s="225"/>
      <c r="AQ19" s="225"/>
      <c r="AR19" s="225"/>
      <c r="AS19" s="225"/>
      <c r="AT19" s="276"/>
      <c r="AU19" s="201"/>
      <c r="AV19" s="202"/>
      <c r="AW19" s="202"/>
      <c r="AX19" s="276"/>
      <c r="AY19" s="201"/>
      <c r="AZ19" s="202"/>
      <c r="BA19" s="202"/>
      <c r="BB19" s="202"/>
      <c r="BC19" s="202"/>
      <c r="BD19" s="202"/>
      <c r="BF19" s="228" t="s">
        <v>79</v>
      </c>
      <c r="DD19" s="191"/>
      <c r="DE19" s="598">
        <v>52</v>
      </c>
      <c r="DF19" s="598" t="s">
        <v>350</v>
      </c>
      <c r="DG19" s="598">
        <v>611.5</v>
      </c>
      <c r="DH19" s="598">
        <v>80</v>
      </c>
      <c r="DI19" s="598">
        <v>0</v>
      </c>
      <c r="DJ19" s="598">
        <v>80</v>
      </c>
    </row>
    <row r="20" spans="3:114" ht="15.75" customHeight="1">
      <c r="C20" s="278" t="s">
        <v>148</v>
      </c>
      <c r="D20" s="767" t="s">
        <v>272</v>
      </c>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67"/>
      <c r="AL20" s="767"/>
      <c r="AM20" s="767"/>
      <c r="AN20" s="767"/>
      <c r="AO20" s="767"/>
      <c r="AP20" s="767"/>
      <c r="AQ20" s="767"/>
      <c r="AR20" s="767"/>
      <c r="AS20" s="767"/>
      <c r="AT20" s="767"/>
      <c r="AU20" s="767"/>
      <c r="AV20" s="767"/>
      <c r="AW20" s="767"/>
      <c r="AX20" s="767"/>
      <c r="AY20" s="767"/>
      <c r="AZ20" s="767"/>
      <c r="BA20" s="767"/>
      <c r="BB20" s="767"/>
      <c r="BC20" s="767"/>
      <c r="BD20" s="767"/>
      <c r="BF20" s="232" t="s">
        <v>301</v>
      </c>
      <c r="BG20" s="232" t="s">
        <v>302</v>
      </c>
      <c r="BH20" s="233" t="s">
        <v>305</v>
      </c>
      <c r="BI20" s="232" t="s">
        <v>329</v>
      </c>
      <c r="BJ20" s="234">
        <v>1990</v>
      </c>
      <c r="BK20" s="233">
        <v>1995</v>
      </c>
      <c r="BL20" s="234"/>
      <c r="BM20" s="233">
        <v>1996</v>
      </c>
      <c r="BN20" s="611"/>
      <c r="BO20" s="612">
        <v>1997</v>
      </c>
      <c r="BP20" s="611"/>
      <c r="BQ20" s="612">
        <v>1998</v>
      </c>
      <c r="BR20" s="611"/>
      <c r="BS20" s="612">
        <v>1999</v>
      </c>
      <c r="BT20" s="611"/>
      <c r="BU20" s="612">
        <v>2000</v>
      </c>
      <c r="BV20" s="611"/>
      <c r="BW20" s="612">
        <v>2001</v>
      </c>
      <c r="BX20" s="611"/>
      <c r="BY20" s="612">
        <v>2002</v>
      </c>
      <c r="BZ20" s="611"/>
      <c r="CA20" s="612">
        <v>2003</v>
      </c>
      <c r="CB20" s="611"/>
      <c r="CC20" s="612">
        <v>2004</v>
      </c>
      <c r="CD20" s="611"/>
      <c r="CE20" s="612">
        <v>2005</v>
      </c>
      <c r="CF20" s="611"/>
      <c r="CG20" s="612">
        <v>2006</v>
      </c>
      <c r="CH20" s="611"/>
      <c r="CI20" s="612">
        <v>2007</v>
      </c>
      <c r="CJ20" s="611"/>
      <c r="CK20" s="612">
        <v>2008</v>
      </c>
      <c r="CL20" s="611"/>
      <c r="CM20" s="612">
        <v>2009</v>
      </c>
      <c r="CN20" s="611"/>
      <c r="CO20" s="612">
        <v>2010</v>
      </c>
      <c r="CP20" s="611"/>
      <c r="CQ20" s="612">
        <v>2011</v>
      </c>
      <c r="CR20" s="611"/>
      <c r="CS20" s="612">
        <v>2012</v>
      </c>
      <c r="CT20" s="613"/>
      <c r="CU20" s="612">
        <v>2013</v>
      </c>
      <c r="CV20" s="611"/>
      <c r="CW20" s="612">
        <v>2014</v>
      </c>
      <c r="CX20" s="611"/>
      <c r="CY20" s="612">
        <v>2015</v>
      </c>
      <c r="CZ20" s="611"/>
      <c r="DA20" s="612">
        <v>2016</v>
      </c>
      <c r="DB20" s="611"/>
      <c r="DC20" s="612">
        <v>2017</v>
      </c>
      <c r="DD20" s="613"/>
      <c r="DE20" s="598">
        <v>112</v>
      </c>
      <c r="DF20" s="598" t="s">
        <v>351</v>
      </c>
      <c r="DG20" s="598">
        <v>128300.00000000001</v>
      </c>
      <c r="DH20" s="598">
        <v>34000</v>
      </c>
      <c r="DI20" s="598">
        <v>23900</v>
      </c>
      <c r="DJ20" s="598">
        <v>57900</v>
      </c>
    </row>
    <row r="21" spans="3:114" ht="15" customHeight="1">
      <c r="C21" s="278" t="s">
        <v>148</v>
      </c>
      <c r="D21" s="767" t="s">
        <v>255</v>
      </c>
      <c r="E21" s="767"/>
      <c r="F21" s="767"/>
      <c r="G21" s="767"/>
      <c r="H21" s="767"/>
      <c r="I21" s="767"/>
      <c r="J21" s="767"/>
      <c r="K21" s="767"/>
      <c r="L21" s="767"/>
      <c r="M21" s="767"/>
      <c r="N21" s="767"/>
      <c r="O21" s="767"/>
      <c r="P21" s="767"/>
      <c r="Q21" s="767"/>
      <c r="R21" s="767"/>
      <c r="S21" s="767"/>
      <c r="T21" s="767"/>
      <c r="U21" s="767"/>
      <c r="V21" s="767"/>
      <c r="W21" s="767"/>
      <c r="X21" s="767"/>
      <c r="Y21" s="767"/>
      <c r="Z21" s="767"/>
      <c r="AA21" s="767"/>
      <c r="AB21" s="767"/>
      <c r="AC21" s="767"/>
      <c r="AD21" s="767"/>
      <c r="AE21" s="767"/>
      <c r="AF21" s="767"/>
      <c r="AG21" s="767"/>
      <c r="AH21" s="767"/>
      <c r="AI21" s="767"/>
      <c r="AJ21" s="767"/>
      <c r="AK21" s="767"/>
      <c r="AL21" s="767"/>
      <c r="AM21" s="767"/>
      <c r="AN21" s="767"/>
      <c r="AO21" s="767"/>
      <c r="AP21" s="767"/>
      <c r="AQ21" s="767"/>
      <c r="AR21" s="767"/>
      <c r="AS21" s="767"/>
      <c r="AT21" s="767"/>
      <c r="AU21" s="767"/>
      <c r="AV21" s="767"/>
      <c r="AW21" s="767"/>
      <c r="AX21" s="767"/>
      <c r="AY21" s="767"/>
      <c r="AZ21" s="767"/>
      <c r="BA21" s="767"/>
      <c r="BB21" s="767"/>
      <c r="BC21" s="767"/>
      <c r="BD21" s="767"/>
      <c r="BF21" s="97">
        <v>3</v>
      </c>
      <c r="BG21" s="248" t="s">
        <v>20</v>
      </c>
      <c r="BH21" s="82" t="s">
        <v>313</v>
      </c>
      <c r="BI21" s="82">
        <f>F10</f>
        <v>904.6</v>
      </c>
      <c r="BJ21" s="82">
        <f>H10</f>
        <v>0</v>
      </c>
      <c r="BK21" s="82">
        <f>J10</f>
        <v>0</v>
      </c>
      <c r="BL21" s="82"/>
      <c r="BM21" s="82">
        <f>L10</f>
        <v>0</v>
      </c>
      <c r="BN21" s="82"/>
      <c r="BO21" s="82">
        <f>N10</f>
        <v>0</v>
      </c>
      <c r="BP21" s="82"/>
      <c r="BQ21" s="82">
        <f>P10</f>
        <v>0</v>
      </c>
      <c r="BR21" s="82"/>
      <c r="BS21" s="82">
        <f>R10</f>
        <v>0</v>
      </c>
      <c r="BT21" s="82"/>
      <c r="BU21" s="82">
        <f>T10</f>
        <v>0</v>
      </c>
      <c r="BV21" s="82"/>
      <c r="BW21" s="82">
        <f>V10</f>
        <v>979.7</v>
      </c>
      <c r="BX21" s="82"/>
      <c r="BY21" s="82">
        <f>X10</f>
        <v>803.8</v>
      </c>
      <c r="BZ21" s="82"/>
      <c r="CA21" s="82">
        <f>Z10</f>
        <v>911.9</v>
      </c>
      <c r="CB21" s="82"/>
      <c r="CC21" s="82">
        <f>AB10</f>
        <v>993</v>
      </c>
      <c r="CD21" s="82"/>
      <c r="CE21" s="82">
        <f>AD10</f>
        <v>714.3</v>
      </c>
      <c r="CF21" s="82"/>
      <c r="CG21" s="82">
        <f>AF10</f>
        <v>968.7</v>
      </c>
      <c r="CH21" s="82"/>
      <c r="CI21" s="82">
        <f>AH10</f>
        <v>992.9</v>
      </c>
      <c r="CJ21" s="82"/>
      <c r="CK21" s="82">
        <f>AJ10</f>
        <v>975.3</v>
      </c>
      <c r="CL21" s="82"/>
      <c r="CM21" s="82">
        <f>AL10</f>
        <v>958.3</v>
      </c>
      <c r="CN21" s="82"/>
      <c r="CO21" s="82">
        <f>AN10</f>
        <v>964.9</v>
      </c>
      <c r="CP21" s="82"/>
      <c r="CQ21" s="82">
        <f>AP10</f>
        <v>846.5</v>
      </c>
      <c r="CR21" s="82"/>
      <c r="CS21" s="82">
        <f>AR10</f>
        <v>989.5</v>
      </c>
      <c r="CT21" s="82"/>
      <c r="CU21" s="82">
        <f>AT10</f>
        <v>0</v>
      </c>
      <c r="CV21" s="607"/>
      <c r="CW21" s="82">
        <f>AV10</f>
        <v>0</v>
      </c>
      <c r="CX21" s="82"/>
      <c r="CY21" s="82">
        <f>AX10</f>
        <v>0</v>
      </c>
      <c r="CZ21" s="607"/>
      <c r="DA21" s="82">
        <f>AZ10</f>
        <v>0</v>
      </c>
      <c r="DB21" s="82"/>
      <c r="DC21" s="82">
        <f>BB10</f>
        <v>0</v>
      </c>
      <c r="DD21" s="82"/>
      <c r="DE21" s="598">
        <v>84</v>
      </c>
      <c r="DF21" s="598" t="s">
        <v>352</v>
      </c>
      <c r="DG21" s="598">
        <v>39160</v>
      </c>
      <c r="DH21" s="598">
        <v>15260</v>
      </c>
      <c r="DI21" s="598">
        <v>6042</v>
      </c>
      <c r="DJ21" s="598">
        <v>21730</v>
      </c>
    </row>
    <row r="22" spans="1:115" ht="12" customHeight="1">
      <c r="A22" s="280"/>
      <c r="C22" s="278" t="s">
        <v>148</v>
      </c>
      <c r="D22" s="777" t="s">
        <v>149</v>
      </c>
      <c r="E22" s="777"/>
      <c r="F22" s="777"/>
      <c r="G22" s="777"/>
      <c r="H22" s="777"/>
      <c r="I22" s="777"/>
      <c r="J22" s="777"/>
      <c r="K22" s="777"/>
      <c r="L22" s="777"/>
      <c r="M22" s="777"/>
      <c r="N22" s="777"/>
      <c r="O22" s="777"/>
      <c r="P22" s="777"/>
      <c r="Q22" s="777"/>
      <c r="R22" s="777"/>
      <c r="S22" s="777"/>
      <c r="T22" s="777"/>
      <c r="U22" s="777"/>
      <c r="V22" s="777"/>
      <c r="W22" s="777"/>
      <c r="X22" s="777"/>
      <c r="Y22" s="777"/>
      <c r="Z22" s="777"/>
      <c r="AA22" s="777"/>
      <c r="AB22" s="777"/>
      <c r="AC22" s="777"/>
      <c r="AD22" s="777"/>
      <c r="AE22" s="777"/>
      <c r="AF22" s="777"/>
      <c r="AG22" s="777"/>
      <c r="AH22" s="777"/>
      <c r="AI22" s="777"/>
      <c r="AJ22" s="777"/>
      <c r="AK22" s="777"/>
      <c r="AL22" s="777"/>
      <c r="AM22" s="777"/>
      <c r="AN22" s="777"/>
      <c r="AO22" s="777"/>
      <c r="AP22" s="777"/>
      <c r="AQ22" s="777"/>
      <c r="AR22" s="777"/>
      <c r="AS22" s="777"/>
      <c r="AT22" s="777"/>
      <c r="AU22" s="777"/>
      <c r="AV22" s="777"/>
      <c r="AW22" s="777"/>
      <c r="AX22" s="777"/>
      <c r="AY22" s="777"/>
      <c r="AZ22" s="777"/>
      <c r="BA22" s="777"/>
      <c r="BB22" s="777"/>
      <c r="BC22" s="777"/>
      <c r="BD22" s="777"/>
      <c r="BE22" s="282"/>
      <c r="BF22" s="283">
        <v>10</v>
      </c>
      <c r="BG22" s="284" t="s">
        <v>39</v>
      </c>
      <c r="BH22" s="82" t="s">
        <v>313</v>
      </c>
      <c r="BI22" s="82">
        <f>(F8-F9)</f>
        <v>904.6</v>
      </c>
      <c r="BJ22" s="82">
        <f>(H8-H9)</f>
        <v>0</v>
      </c>
      <c r="BK22" s="82">
        <f>(J8-J9)</f>
        <v>0</v>
      </c>
      <c r="BL22" s="82"/>
      <c r="BM22" s="82">
        <f>(L8-L9)</f>
        <v>0</v>
      </c>
      <c r="BN22" s="82"/>
      <c r="BO22" s="82">
        <f>(N8-N9)</f>
        <v>0</v>
      </c>
      <c r="BP22" s="82"/>
      <c r="BQ22" s="82">
        <f>(P8-P9)</f>
        <v>0</v>
      </c>
      <c r="BR22" s="82"/>
      <c r="BS22" s="82">
        <f>(R8-R9)</f>
        <v>0</v>
      </c>
      <c r="BT22" s="82"/>
      <c r="BU22" s="82">
        <f>(T8-T9)</f>
        <v>0</v>
      </c>
      <c r="BV22" s="82"/>
      <c r="BW22" s="82">
        <f>(V8-V9)</f>
        <v>979.7</v>
      </c>
      <c r="BX22" s="82"/>
      <c r="BY22" s="82">
        <f>(X8-X9)</f>
        <v>803.8000000000001</v>
      </c>
      <c r="BZ22" s="82"/>
      <c r="CA22" s="82">
        <f>(Z8-Z9)</f>
        <v>911.9000000000001</v>
      </c>
      <c r="CB22" s="82"/>
      <c r="CC22" s="82">
        <f>(AB8-AB9)</f>
        <v>993.0000000000001</v>
      </c>
      <c r="CD22" s="82"/>
      <c r="CE22" s="82">
        <f>(AD8-AD9)</f>
        <v>714.3000000000001</v>
      </c>
      <c r="CF22" s="82"/>
      <c r="CG22" s="82">
        <f>(AF8-AF9)</f>
        <v>968.6999999999999</v>
      </c>
      <c r="CH22" s="82"/>
      <c r="CI22" s="82">
        <f>(AH8-AH9)</f>
        <v>992.8999999999999</v>
      </c>
      <c r="CJ22" s="82"/>
      <c r="CK22" s="82">
        <f>(AJ8-AJ9)</f>
        <v>975.3</v>
      </c>
      <c r="CL22" s="82"/>
      <c r="CM22" s="82">
        <f>(AL8-AL9)</f>
        <v>958.3000000000001</v>
      </c>
      <c r="CN22" s="82"/>
      <c r="CO22" s="82">
        <f>(AN8-AN9)</f>
        <v>964.9</v>
      </c>
      <c r="CP22" s="82"/>
      <c r="CQ22" s="82">
        <f>(AP8-AP9)</f>
        <v>846.5</v>
      </c>
      <c r="CR22" s="82"/>
      <c r="CS22" s="82">
        <f>(AR8-AR9)</f>
        <v>989.5000000000001</v>
      </c>
      <c r="CT22" s="82"/>
      <c r="CU22" s="82">
        <f>(AT8-AT9)</f>
        <v>0</v>
      </c>
      <c r="CV22" s="607"/>
      <c r="CW22" s="82">
        <f>(AV8-AV9)</f>
        <v>0</v>
      </c>
      <c r="CX22" s="82"/>
      <c r="CY22" s="82">
        <f>(AX8-AX9)</f>
        <v>0</v>
      </c>
      <c r="CZ22" s="607"/>
      <c r="DA22" s="82">
        <f>(AZ8-AZ9)</f>
        <v>0</v>
      </c>
      <c r="DB22" s="82"/>
      <c r="DC22" s="82">
        <f>(BB8-BB9)</f>
        <v>0</v>
      </c>
      <c r="DD22" s="82"/>
      <c r="DE22" s="598">
        <v>204</v>
      </c>
      <c r="DF22" s="598" t="s">
        <v>353</v>
      </c>
      <c r="DG22" s="598">
        <v>119200</v>
      </c>
      <c r="DH22" s="598">
        <v>10300</v>
      </c>
      <c r="DI22" s="598">
        <v>0</v>
      </c>
      <c r="DJ22" s="598">
        <v>26390</v>
      </c>
      <c r="DK22" s="285"/>
    </row>
    <row r="23" spans="1:115" ht="9" customHeight="1">
      <c r="A23" s="280"/>
      <c r="B23" s="280"/>
      <c r="C23" s="278" t="s">
        <v>148</v>
      </c>
      <c r="D23" s="767" t="s">
        <v>114</v>
      </c>
      <c r="E23" s="767"/>
      <c r="F23" s="767"/>
      <c r="G23" s="767"/>
      <c r="H23" s="767"/>
      <c r="I23" s="767"/>
      <c r="J23" s="767"/>
      <c r="K23" s="767"/>
      <c r="L23" s="767"/>
      <c r="M23" s="767"/>
      <c r="N23" s="767"/>
      <c r="O23" s="767"/>
      <c r="P23" s="767"/>
      <c r="Q23" s="767"/>
      <c r="R23" s="767"/>
      <c r="S23" s="767"/>
      <c r="T23" s="767"/>
      <c r="U23" s="767"/>
      <c r="V23" s="767"/>
      <c r="W23" s="767"/>
      <c r="X23" s="767"/>
      <c r="Y23" s="767"/>
      <c r="Z23" s="767"/>
      <c r="AA23" s="767"/>
      <c r="AB23" s="767"/>
      <c r="AC23" s="767"/>
      <c r="AD23" s="767"/>
      <c r="AE23" s="767"/>
      <c r="AF23" s="767"/>
      <c r="AG23" s="767"/>
      <c r="AH23" s="767"/>
      <c r="AI23" s="767"/>
      <c r="AJ23" s="767"/>
      <c r="AK23" s="767"/>
      <c r="AL23" s="767"/>
      <c r="AM23" s="767"/>
      <c r="AN23" s="767"/>
      <c r="AO23" s="767"/>
      <c r="AP23" s="767"/>
      <c r="AQ23" s="767"/>
      <c r="AR23" s="767"/>
      <c r="AS23" s="767"/>
      <c r="AT23" s="767"/>
      <c r="AU23" s="767"/>
      <c r="AV23" s="767"/>
      <c r="AW23" s="767"/>
      <c r="AX23" s="767"/>
      <c r="AY23" s="767"/>
      <c r="AZ23" s="767"/>
      <c r="BA23" s="767"/>
      <c r="BB23" s="767"/>
      <c r="BC23" s="767"/>
      <c r="BD23" s="767"/>
      <c r="BE23" s="286"/>
      <c r="BF23" s="287" t="s">
        <v>182</v>
      </c>
      <c r="BG23" s="284" t="s">
        <v>231</v>
      </c>
      <c r="BH23" s="82"/>
      <c r="BI23" s="82" t="str">
        <f>IF(OR(ISBLANK(F8),ISBLANK(F9),ISBLANK(F10)),"N/A",IF((BI21=BI22),"ok","&lt;&gt;"))</f>
        <v>ok</v>
      </c>
      <c r="BJ23" s="82" t="str">
        <f>IF(OR(ISBLANK(H8),ISBLANK(H9),ISBLANK(H10)),"N/A",IF((BJ21=BJ22),"ok","&lt;&gt;"))</f>
        <v>N/A</v>
      </c>
      <c r="BK23" s="82" t="str">
        <f>IF(OR(ISBLANK(P8),ISBLANK(P9),ISBLANK(P10)),"N/A",IF((BK21=BK22),"ok","&lt;&gt;"))</f>
        <v>N/A</v>
      </c>
      <c r="BL23" s="82"/>
      <c r="BM23" s="82" t="str">
        <f>IF(OR(ISBLANK(L8),ISBLANK(L9),ISBLANK(L10)),"N/A",IF((BM21=BM22),"ok","&lt;&gt;"))</f>
        <v>N/A</v>
      </c>
      <c r="BN23" s="82"/>
      <c r="BO23" s="82" t="str">
        <f>IF(OR(ISBLANK(Q8),ISBLANK(Q9),ISBLANK(Q10)),"N/A",IF((BO21=BO22),"ok","&lt;&gt;"))</f>
        <v>N/A</v>
      </c>
      <c r="BP23" s="82"/>
      <c r="BQ23" s="82" t="str">
        <f>IF(OR(ISBLANK(S8),ISBLANK(S9),ISBLANK(S10)),"N/A",IF((BQ21=BQ22),"ok","&lt;&gt;"))</f>
        <v>N/A</v>
      </c>
      <c r="BR23" s="82"/>
      <c r="BS23" s="82" t="str">
        <f>IF(OR(ISBLANK(R8),ISBLANK(R9),ISBLANK(R10)),"N/A",IF((BS21=BS22),"ok","&lt;&gt;"))</f>
        <v>N/A</v>
      </c>
      <c r="BT23" s="82"/>
      <c r="BU23" s="82" t="str">
        <f>IF(OR(ISBLANK(T8),ISBLANK(T9),ISBLANK(T10)),"N/A",IF((BU21=BU22),"ok","&lt;&gt;"))</f>
        <v>N/A</v>
      </c>
      <c r="BV23" s="82"/>
      <c r="BW23" s="82" t="str">
        <f>IF(OR(ISBLANK(V8),ISBLANK(V9),ISBLANK(V10)),"N/A",IF((BW21=BW22),"ok","&lt;&gt;"))</f>
        <v>ok</v>
      </c>
      <c r="BX23" s="82"/>
      <c r="BY23" s="82" t="str">
        <f>IF(OR(ISBLANK(X8),ISBLANK(X9),ISBLANK(X10)),"N/A",IF((BY21=BY22),"ok","&lt;&gt;"))</f>
        <v>ok</v>
      </c>
      <c r="BZ23" s="82"/>
      <c r="CA23" s="82" t="str">
        <f>IF(OR(ISBLANK(Z8),ISBLANK(Z9),ISBLANK(Z10)),"N/A",IF((CA21=CA22),"ok","&lt;&gt;"))</f>
        <v>ok</v>
      </c>
      <c r="CB23" s="82"/>
      <c r="CC23" s="82" t="str">
        <f>IF(OR(ISBLANK(AB8),ISBLANK(AB9),ISBLANK(AB10)),"N/A",IF((CC21=CC22),"ok","&lt;&gt;"))</f>
        <v>ok</v>
      </c>
      <c r="CD23" s="82"/>
      <c r="CE23" s="82" t="str">
        <f>IF(OR(ISBLANK(AD8),ISBLANK(AD9),ISBLANK(AD10)),"N/A",IF((CE21=CE22),"ok","&lt;&gt;"))</f>
        <v>ok</v>
      </c>
      <c r="CF23" s="82"/>
      <c r="CG23" s="82" t="str">
        <f>IF(OR(ISBLANK(AF8),ISBLANK(AF9),ISBLANK(AF10)),"N/A",IF((CG21=CG22),"ok","&lt;&gt;"))</f>
        <v>ok</v>
      </c>
      <c r="CH23" s="82"/>
      <c r="CI23" s="82" t="str">
        <f>IF(OR(ISBLANK(AH8),ISBLANK(AH9),ISBLANK(AH10)),"N/A",IF((CI21=CI22),"ok","&lt;&gt;"))</f>
        <v>ok</v>
      </c>
      <c r="CJ23" s="82"/>
      <c r="CK23" s="82" t="str">
        <f>IF(OR(ISBLANK(AJ8),ISBLANK(AJ9),ISBLANK(AJ10)),"N/A",IF((CK21=CK22),"ok","&lt;&gt;"))</f>
        <v>ok</v>
      </c>
      <c r="CL23" s="82"/>
      <c r="CM23" s="82" t="str">
        <f>IF(OR(ISBLANK(AL8),ISBLANK(AL9),ISBLANK(AL10)),"N/A",IF((CM21=CM22),"ok","&lt;&gt;"))</f>
        <v>ok</v>
      </c>
      <c r="CN23" s="82"/>
      <c r="CO23" s="82" t="str">
        <f>IF(OR(ISBLANK(AN8),ISBLANK(AN9),ISBLANK(AN10)),"N/A",IF((CO21=CO22),"ok","&lt;&gt;"))</f>
        <v>ok</v>
      </c>
      <c r="CP23" s="82"/>
      <c r="CQ23" s="82" t="str">
        <f>IF(OR(ISBLANK(AP8),ISBLANK(AP9),ISBLANK(AP10)),"N/A",IF((CQ21=CQ22),"ok","&lt;&gt;"))</f>
        <v>ok</v>
      </c>
      <c r="CR23" s="82"/>
      <c r="CS23" s="82" t="str">
        <f>IF(OR(ISBLANK(AR8),ISBLANK(AR9),ISBLANK(AR10)),"N/A",IF((CS21=CS22),"ok","&lt;&gt;"))</f>
        <v>ok</v>
      </c>
      <c r="CT23" s="82"/>
      <c r="CU23" s="82" t="str">
        <f>IF(OR(ISBLANK(AT8),ISBLANK(AT9),ISBLANK(AT10)),"N/A",IF((CU21=CU22),"ok","&lt;&gt;"))</f>
        <v>N/A</v>
      </c>
      <c r="CV23" s="607"/>
      <c r="CW23" s="82" t="str">
        <f>IF(OR(ISBLANK(AV8),ISBLANK(AV9),ISBLANK(AV10)),"N/A",IF((CW21=CW22),"ok","&lt;&gt;"))</f>
        <v>N/A</v>
      </c>
      <c r="CX23" s="82"/>
      <c r="CY23" s="82" t="str">
        <f>IF(OR(ISBLANK(AX8),ISBLANK(AX9),ISBLANK(AX10)),"N/A",IF((CY21=CY22),"ok","&lt;&gt;"))</f>
        <v>N/A</v>
      </c>
      <c r="CZ23" s="607"/>
      <c r="DA23" s="82" t="str">
        <f>IF(OR(ISBLANK(AZ8),ISBLANK(AZ9),ISBLANK(AZ10)),"N/A",IF((DA21=DA22),"ok","&lt;&gt;"))</f>
        <v>N/A</v>
      </c>
      <c r="DB23" s="82"/>
      <c r="DC23" s="82" t="str">
        <f>IF(OR(ISBLANK(BB8),ISBLANK(BB9),ISBLANK(BB10)),"N/A",IF((DC21=DC22),"ok","&lt;&gt;"))</f>
        <v>N/A</v>
      </c>
      <c r="DD23" s="82"/>
      <c r="DE23" s="598">
        <v>60</v>
      </c>
      <c r="DF23" s="598" t="s">
        <v>354</v>
      </c>
      <c r="DG23" s="598"/>
      <c r="DH23" s="598"/>
      <c r="DI23" s="598"/>
      <c r="DJ23" s="598"/>
      <c r="DK23" s="285"/>
    </row>
    <row r="24" spans="1:115" ht="3.75" customHeight="1">
      <c r="A24" s="280"/>
      <c r="B24" s="280"/>
      <c r="C24" s="278"/>
      <c r="D24" s="771"/>
      <c r="E24" s="771"/>
      <c r="F24" s="771"/>
      <c r="G24" s="771"/>
      <c r="H24" s="771"/>
      <c r="I24" s="771"/>
      <c r="J24" s="771"/>
      <c r="K24" s="771"/>
      <c r="L24" s="771"/>
      <c r="M24" s="771"/>
      <c r="N24" s="771"/>
      <c r="O24" s="771"/>
      <c r="P24" s="771"/>
      <c r="Q24" s="771"/>
      <c r="R24" s="771"/>
      <c r="S24" s="771"/>
      <c r="T24" s="771"/>
      <c r="U24" s="771"/>
      <c r="V24" s="771"/>
      <c r="W24" s="771"/>
      <c r="X24" s="771"/>
      <c r="Y24" s="771"/>
      <c r="Z24" s="771"/>
      <c r="AA24" s="771"/>
      <c r="AB24" s="771"/>
      <c r="AC24" s="771"/>
      <c r="AD24" s="771"/>
      <c r="AE24" s="771"/>
      <c r="AF24" s="771"/>
      <c r="AG24" s="771"/>
      <c r="AH24" s="771"/>
      <c r="AI24" s="771"/>
      <c r="AJ24" s="771"/>
      <c r="AK24" s="771"/>
      <c r="AL24" s="771"/>
      <c r="AM24" s="771"/>
      <c r="AN24" s="771"/>
      <c r="AO24" s="771"/>
      <c r="AP24" s="771"/>
      <c r="AQ24" s="771"/>
      <c r="AR24" s="771"/>
      <c r="AS24" s="771"/>
      <c r="AT24" s="771"/>
      <c r="AU24" s="771"/>
      <c r="AV24" s="771"/>
      <c r="AW24" s="771"/>
      <c r="AX24" s="771"/>
      <c r="AY24" s="771"/>
      <c r="AZ24" s="771"/>
      <c r="BA24" s="771"/>
      <c r="BB24" s="771"/>
      <c r="BC24" s="771"/>
      <c r="BD24" s="771"/>
      <c r="BE24" s="282"/>
      <c r="BF24" s="97">
        <v>5</v>
      </c>
      <c r="BG24" s="257" t="s">
        <v>19</v>
      </c>
      <c r="BH24" s="82" t="s">
        <v>313</v>
      </c>
      <c r="BI24" s="82">
        <f>F12</f>
        <v>0</v>
      </c>
      <c r="BJ24" s="82">
        <f>H12</f>
        <v>0</v>
      </c>
      <c r="BK24" s="82">
        <f>P12</f>
        <v>0</v>
      </c>
      <c r="BL24" s="82"/>
      <c r="BM24" s="82">
        <f>L12</f>
        <v>0</v>
      </c>
      <c r="BN24" s="82"/>
      <c r="BO24" s="82">
        <f>Q12</f>
        <v>0</v>
      </c>
      <c r="BP24" s="82"/>
      <c r="BQ24" s="82">
        <f>S12</f>
        <v>0</v>
      </c>
      <c r="BR24" s="82"/>
      <c r="BS24" s="82">
        <f>R12</f>
        <v>0</v>
      </c>
      <c r="BT24" s="82"/>
      <c r="BU24" s="82">
        <f>T12</f>
        <v>0</v>
      </c>
      <c r="BV24" s="82"/>
      <c r="BW24" s="82">
        <f>V12</f>
        <v>0</v>
      </c>
      <c r="BX24" s="82"/>
      <c r="BY24" s="82">
        <f>X12</f>
        <v>0</v>
      </c>
      <c r="BZ24" s="82"/>
      <c r="CA24" s="82">
        <f>Z12</f>
        <v>0</v>
      </c>
      <c r="CB24" s="82"/>
      <c r="CC24" s="82">
        <f>AB12</f>
        <v>0</v>
      </c>
      <c r="CD24" s="82"/>
      <c r="CE24" s="82">
        <f>AD12</f>
        <v>0</v>
      </c>
      <c r="CF24" s="82"/>
      <c r="CG24" s="82">
        <f>AF12</f>
        <v>0</v>
      </c>
      <c r="CH24" s="82"/>
      <c r="CI24" s="82">
        <f>AH12</f>
        <v>0</v>
      </c>
      <c r="CJ24" s="82"/>
      <c r="CK24" s="82">
        <f>AJ12</f>
        <v>0</v>
      </c>
      <c r="CL24" s="82"/>
      <c r="CM24" s="82">
        <f>AL12</f>
        <v>0</v>
      </c>
      <c r="CN24" s="82"/>
      <c r="CO24" s="82">
        <f>AN12</f>
        <v>0</v>
      </c>
      <c r="CP24" s="82"/>
      <c r="CQ24" s="82">
        <f>AP12</f>
        <v>0</v>
      </c>
      <c r="CR24" s="82"/>
      <c r="CS24" s="82">
        <f>AR12</f>
        <v>0</v>
      </c>
      <c r="CT24" s="82"/>
      <c r="CU24" s="82">
        <f>AT12</f>
        <v>0</v>
      </c>
      <c r="CV24" s="614"/>
      <c r="CW24" s="82">
        <f>AV12</f>
        <v>0</v>
      </c>
      <c r="CX24" s="82"/>
      <c r="CY24" s="82">
        <f>AX12</f>
        <v>0</v>
      </c>
      <c r="CZ24" s="614"/>
      <c r="DA24" s="82">
        <f>AZ12</f>
        <v>0</v>
      </c>
      <c r="DB24" s="82"/>
      <c r="DC24" s="82">
        <f>BB12</f>
        <v>0</v>
      </c>
      <c r="DD24" s="82"/>
      <c r="DE24" s="598">
        <v>64</v>
      </c>
      <c r="DF24" s="598" t="s">
        <v>355</v>
      </c>
      <c r="DG24" s="598">
        <v>84460</v>
      </c>
      <c r="DH24" s="598">
        <v>78000</v>
      </c>
      <c r="DI24" s="598">
        <v>0</v>
      </c>
      <c r="DJ24" s="598">
        <v>78000</v>
      </c>
      <c r="DK24" s="285"/>
    </row>
    <row r="25" spans="1:115" ht="7.5" customHeight="1">
      <c r="A25" s="280"/>
      <c r="B25" s="280"/>
      <c r="C25" s="27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2"/>
      <c r="BF25" s="283">
        <v>11</v>
      </c>
      <c r="BG25" s="284" t="s">
        <v>40</v>
      </c>
      <c r="BH25" s="82" t="s">
        <v>313</v>
      </c>
      <c r="BI25" s="82">
        <f>F10+F11</f>
        <v>904.6</v>
      </c>
      <c r="BJ25" s="82">
        <f>H10+H11</f>
        <v>0</v>
      </c>
      <c r="BK25" s="82">
        <f>P10+P11</f>
        <v>0</v>
      </c>
      <c r="BL25" s="82"/>
      <c r="BM25" s="82">
        <f>L10+L11</f>
        <v>0</v>
      </c>
      <c r="BN25" s="82"/>
      <c r="BO25" s="82">
        <f>Q10+Q11</f>
        <v>0</v>
      </c>
      <c r="BP25" s="82"/>
      <c r="BQ25" s="82">
        <f>S10+S11</f>
        <v>0</v>
      </c>
      <c r="BR25" s="82"/>
      <c r="BS25" s="82">
        <f>R10+R11</f>
        <v>0</v>
      </c>
      <c r="BT25" s="82"/>
      <c r="BU25" s="82">
        <f>T10+T11</f>
        <v>0</v>
      </c>
      <c r="BV25" s="82"/>
      <c r="BW25" s="82">
        <f>V10+V11</f>
        <v>979.7</v>
      </c>
      <c r="BX25" s="82"/>
      <c r="BY25" s="82">
        <f>X10+X11</f>
        <v>803.8</v>
      </c>
      <c r="BZ25" s="83"/>
      <c r="CA25" s="82">
        <f>Z10+Z11</f>
        <v>911.9</v>
      </c>
      <c r="CB25" s="82"/>
      <c r="CC25" s="82">
        <f>AB10+AB11</f>
        <v>993</v>
      </c>
      <c r="CD25" s="82"/>
      <c r="CE25" s="82">
        <f>AD10+AD11</f>
        <v>714.3</v>
      </c>
      <c r="CF25" s="82"/>
      <c r="CG25" s="82">
        <f>AF10+AF11</f>
        <v>968.7</v>
      </c>
      <c r="CH25" s="82"/>
      <c r="CI25" s="82">
        <f>AH10+AH11</f>
        <v>992.9</v>
      </c>
      <c r="CJ25" s="82"/>
      <c r="CK25" s="82">
        <f>AJ10+AJ11</f>
        <v>975.3</v>
      </c>
      <c r="CL25" s="82"/>
      <c r="CM25" s="82">
        <f>AL10+AL11</f>
        <v>958.3</v>
      </c>
      <c r="CN25" s="82"/>
      <c r="CO25" s="82">
        <f>AN10+AN11</f>
        <v>964.9</v>
      </c>
      <c r="CP25" s="82"/>
      <c r="CQ25" s="82">
        <f>AP10+AP11</f>
        <v>846.5</v>
      </c>
      <c r="CR25" s="82"/>
      <c r="CS25" s="82">
        <f>AR10+AR11</f>
        <v>989.5</v>
      </c>
      <c r="CT25" s="82"/>
      <c r="CU25" s="82">
        <f>AT10+AT11</f>
        <v>0</v>
      </c>
      <c r="CV25" s="82"/>
      <c r="CW25" s="82">
        <f>AV10+AV11</f>
        <v>0</v>
      </c>
      <c r="CX25" s="82"/>
      <c r="CY25" s="82">
        <f>AX10+AX11</f>
        <v>0</v>
      </c>
      <c r="CZ25" s="82"/>
      <c r="DA25" s="82">
        <f>AZ10+AZ11</f>
        <v>0</v>
      </c>
      <c r="DB25" s="82"/>
      <c r="DC25" s="82">
        <f>BB10+BB11</f>
        <v>0</v>
      </c>
      <c r="DD25" s="82"/>
      <c r="DE25" s="598">
        <v>68</v>
      </c>
      <c r="DF25" s="598" t="s">
        <v>153</v>
      </c>
      <c r="DG25" s="598">
        <v>1259000</v>
      </c>
      <c r="DH25" s="598">
        <v>303500</v>
      </c>
      <c r="DI25" s="598">
        <v>259000</v>
      </c>
      <c r="DJ25" s="598">
        <v>574000</v>
      </c>
      <c r="DK25" s="285"/>
    </row>
    <row r="26" spans="1:115" ht="27" customHeight="1">
      <c r="A26" s="280"/>
      <c r="B26" s="280"/>
      <c r="F26" s="783" t="str">
        <f>D8&amp;" (W1, 1)"</f>
        <v>Precipitation                               (W1, 1)</v>
      </c>
      <c r="G26" s="784"/>
      <c r="H26" s="784"/>
      <c r="I26" s="785"/>
      <c r="J26" s="291"/>
      <c r="K26" s="291"/>
      <c r="L26" s="291"/>
      <c r="M26" s="783" t="str">
        <f>D9&amp;"(W1, 2)"</f>
        <v>Actual evapotranspiration(W1, 2)</v>
      </c>
      <c r="N26" s="786"/>
      <c r="O26" s="786"/>
      <c r="P26" s="786"/>
      <c r="Q26" s="787"/>
      <c r="R26" s="289"/>
      <c r="S26" s="291"/>
      <c r="T26" s="291"/>
      <c r="U26" s="291"/>
      <c r="V26" s="291"/>
      <c r="W26" s="291"/>
      <c r="X26" s="291"/>
      <c r="Y26" s="291"/>
      <c r="Z26" s="291"/>
      <c r="AA26" s="290"/>
      <c r="AB26" s="753"/>
      <c r="AC26" s="753"/>
      <c r="AD26" s="753"/>
      <c r="AE26" s="753"/>
      <c r="AF26" s="292"/>
      <c r="AG26" s="292"/>
      <c r="AH26" s="292"/>
      <c r="AI26" s="292"/>
      <c r="AJ26" s="753"/>
      <c r="AK26" s="781"/>
      <c r="AL26" s="781"/>
      <c r="AM26" s="781"/>
      <c r="AN26" s="781"/>
      <c r="AO26" s="292"/>
      <c r="AP26" s="292"/>
      <c r="AQ26" s="292"/>
      <c r="AR26" s="292"/>
      <c r="AS26" s="292"/>
      <c r="AT26" s="292"/>
      <c r="AU26" s="292"/>
      <c r="AV26" s="292"/>
      <c r="AW26" s="292"/>
      <c r="AX26" s="292"/>
      <c r="AY26" s="292"/>
      <c r="AZ26" s="292"/>
      <c r="BA26" s="292"/>
      <c r="BB26" s="292"/>
      <c r="BC26" s="292"/>
      <c r="BD26" s="288"/>
      <c r="BE26" s="282"/>
      <c r="BF26" s="287" t="s">
        <v>182</v>
      </c>
      <c r="BG26" s="284" t="s">
        <v>232</v>
      </c>
      <c r="BH26" s="82"/>
      <c r="BI26" s="82" t="str">
        <f>IF(OR(ISBLANK(F10),ISBLANK(F11)),"N/A",IF((BI24=BI25),"ok","&lt;&gt;"))</f>
        <v>N/A</v>
      </c>
      <c r="BJ26" s="82" t="str">
        <f>IF(OR(ISBLANK(H10),ISBLANK(H11)),"N/A",IF((BJ24=BJ25),"ok","&lt;&gt;"))</f>
        <v>N/A</v>
      </c>
      <c r="BK26" s="82" t="str">
        <f>IF(OR(ISBLANK(P10),ISBLANK(P11)),"N/A",IF((BK24=BK25),"ok","&lt;&gt;"))</f>
        <v>N/A</v>
      </c>
      <c r="BL26" s="82"/>
      <c r="BM26" s="82" t="str">
        <f>IF(OR(ISBLANK(L10),ISBLANK(L11)),"N/A",IF((BM24=BM25),"ok","&lt;&gt;"))</f>
        <v>N/A</v>
      </c>
      <c r="BN26" s="82"/>
      <c r="BO26" s="82" t="str">
        <f>IF(OR(ISBLANK(Q10),ISBLANK(Q11)),"N/A",IF((BO24=BO25),"ok","&lt;&gt;"))</f>
        <v>N/A</v>
      </c>
      <c r="BP26" s="82"/>
      <c r="BQ26" s="82" t="str">
        <f>IF(OR(ISBLANK(S10),ISBLANK(S11)),"N/A",IF((BQ24=BQ25),"ok","&lt;&gt;"))</f>
        <v>N/A</v>
      </c>
      <c r="BR26" s="82"/>
      <c r="BS26" s="82" t="str">
        <f>IF(OR(ISBLANK(R10),ISBLANK(R11)),"N/A",IF((BS24=BS25),"ok","&lt;&gt;"))</f>
        <v>N/A</v>
      </c>
      <c r="BT26" s="82"/>
      <c r="BU26" s="82" t="str">
        <f>IF(OR(ISBLANK(T10),ISBLANK(T11)),"N/A",IF((BU24=BU25),"ok","&lt;&gt;"))</f>
        <v>N/A</v>
      </c>
      <c r="BV26" s="82"/>
      <c r="BW26" s="82" t="str">
        <f>IF(OR(ISBLANK(V10),ISBLANK(V11)),"N/A",IF((BW24=BW25),"ok","&lt;&gt;"))</f>
        <v>N/A</v>
      </c>
      <c r="BX26" s="82"/>
      <c r="BY26" s="82" t="str">
        <f>IF(OR(ISBLANK(X10),ISBLANK(X11)),"N/A",IF((BY24=BY25),"ok","&lt;&gt;"))</f>
        <v>N/A</v>
      </c>
      <c r="BZ26" s="82"/>
      <c r="CA26" s="82" t="str">
        <f>IF(OR(ISBLANK(Z10),ISBLANK(Z11)),"N/A",IF((CA24=CA25),"ok","&lt;&gt;"))</f>
        <v>N/A</v>
      </c>
      <c r="CB26" s="82"/>
      <c r="CC26" s="82" t="str">
        <f>IF(OR(ISBLANK(AB10),ISBLANK(AB11)),"N/A",IF((CC24=CC25),"ok","&lt;&gt;"))</f>
        <v>N/A</v>
      </c>
      <c r="CD26" s="82"/>
      <c r="CE26" s="82" t="str">
        <f>IF(OR(ISBLANK(AD10),ISBLANK(AD11)),"N/A",IF((CE24=CE25),"ok","&lt;&gt;"))</f>
        <v>N/A</v>
      </c>
      <c r="CF26" s="82"/>
      <c r="CG26" s="82" t="str">
        <f>IF(OR(ISBLANK(AF10),ISBLANK(AF11)),"N/A",IF((CG24=CG25),"ok","&lt;&gt;"))</f>
        <v>N/A</v>
      </c>
      <c r="CH26" s="82"/>
      <c r="CI26" s="82" t="str">
        <f>IF(OR(ISBLANK(AH10),ISBLANK(AH11)),"N/A",IF((CI24=CI25),"ok","&lt;&gt;"))</f>
        <v>N/A</v>
      </c>
      <c r="CJ26" s="82"/>
      <c r="CK26" s="82" t="str">
        <f>IF(OR(ISBLANK(AJ10),ISBLANK(AJ11)),"N/A",IF((CK24=CK25),"ok","&lt;&gt;"))</f>
        <v>N/A</v>
      </c>
      <c r="CL26" s="82"/>
      <c r="CM26" s="82" t="str">
        <f>IF(OR(ISBLANK(AL10),ISBLANK(AL11)),"N/A",IF((CM24=CM25),"ok","&lt;&gt;"))</f>
        <v>N/A</v>
      </c>
      <c r="CN26" s="82"/>
      <c r="CO26" s="82" t="str">
        <f>IF(OR(ISBLANK(AN10),ISBLANK(AN11)),"N/A",IF((CO24=CO25),"ok","&lt;&gt;"))</f>
        <v>N/A</v>
      </c>
      <c r="CP26" s="82"/>
      <c r="CQ26" s="82" t="str">
        <f>IF(OR(ISBLANK(AP10),ISBLANK(AP11)),"N/A",IF((CQ24=CQ25),"ok","&lt;&gt;"))</f>
        <v>N/A</v>
      </c>
      <c r="CR26" s="82"/>
      <c r="CS26" s="82" t="str">
        <f>IF(OR(ISBLANK(AR10),ISBLANK(AR11)),"N/A",IF((CS24=CS25),"ok","&lt;&gt;"))</f>
        <v>N/A</v>
      </c>
      <c r="CT26" s="82"/>
      <c r="CU26" s="82" t="str">
        <f>IF(OR(ISBLANK(AT10),ISBLANK(AT11)),"N/A",IF((CU24=CU25),"ok","&lt;&gt;"))</f>
        <v>N/A</v>
      </c>
      <c r="CV26" s="82"/>
      <c r="CW26" s="82" t="str">
        <f>IF(OR(ISBLANK(AV10),ISBLANK(AV11)),"N/A",IF((CW24=CW25),"ok","&lt;&gt;"))</f>
        <v>N/A</v>
      </c>
      <c r="CX26" s="82"/>
      <c r="CY26" s="82" t="str">
        <f>IF(OR(ISBLANK(AX10),ISBLANK(AX11)),"N/A",IF((CY24=CY25),"ok","&lt;&gt;"))</f>
        <v>N/A</v>
      </c>
      <c r="CZ26" s="82"/>
      <c r="DA26" s="82" t="str">
        <f>IF(OR(ISBLANK(AZ10),ISBLANK(AZ11)),"N/A",IF((DA24=DA25),"ok","&lt;&gt;"))</f>
        <v>N/A</v>
      </c>
      <c r="DB26" s="82"/>
      <c r="DC26" s="82" t="str">
        <f>IF(OR(ISBLANK(BB10),ISBLANK(BB11)),"N/A",IF((DC24=DC25),"ok","&lt;&gt;"))</f>
        <v>N/A</v>
      </c>
      <c r="DD26" s="82"/>
      <c r="DE26" s="598">
        <v>70</v>
      </c>
      <c r="DF26" s="598" t="s">
        <v>356</v>
      </c>
      <c r="DG26" s="598">
        <v>52640</v>
      </c>
      <c r="DH26" s="598">
        <v>35500</v>
      </c>
      <c r="DI26" s="598">
        <v>2000</v>
      </c>
      <c r="DJ26" s="598">
        <v>37500</v>
      </c>
      <c r="DK26" s="285"/>
    </row>
    <row r="27" spans="1:115" ht="22.5" customHeight="1">
      <c r="A27" s="280"/>
      <c r="B27" s="280"/>
      <c r="C27" s="278"/>
      <c r="D27" s="288"/>
      <c r="E27" s="288"/>
      <c r="F27" s="292"/>
      <c r="G27" s="292"/>
      <c r="H27" s="291"/>
      <c r="I27" s="291"/>
      <c r="J27" s="291"/>
      <c r="K27" s="291"/>
      <c r="L27" s="291"/>
      <c r="M27" s="291"/>
      <c r="N27" s="291"/>
      <c r="O27" s="291"/>
      <c r="P27" s="291"/>
      <c r="Q27" s="291"/>
      <c r="R27" s="291"/>
      <c r="S27" s="291"/>
      <c r="T27" s="291"/>
      <c r="U27" s="291"/>
      <c r="V27" s="291"/>
      <c r="W27" s="291"/>
      <c r="X27" s="291"/>
      <c r="Y27" s="291"/>
      <c r="Z27" s="291"/>
      <c r="AA27" s="291"/>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2"/>
      <c r="BC27" s="292"/>
      <c r="BD27" s="288"/>
      <c r="BE27" s="282"/>
      <c r="BF27" s="97">
        <v>1</v>
      </c>
      <c r="BG27" s="293" t="s">
        <v>502</v>
      </c>
      <c r="BH27" s="97" t="s">
        <v>313</v>
      </c>
      <c r="BI27" s="82">
        <f>F8</f>
        <v>943.6</v>
      </c>
      <c r="BJ27" s="83" t="s">
        <v>85</v>
      </c>
      <c r="BK27" s="82" t="s">
        <v>85</v>
      </c>
      <c r="BL27" s="83"/>
      <c r="BM27" s="82" t="s">
        <v>85</v>
      </c>
      <c r="BN27" s="83"/>
      <c r="BO27" s="82" t="s">
        <v>85</v>
      </c>
      <c r="BP27" s="83"/>
      <c r="BQ27" s="82" t="s">
        <v>85</v>
      </c>
      <c r="BR27" s="83"/>
      <c r="BS27" s="82" t="s">
        <v>85</v>
      </c>
      <c r="BT27" s="83"/>
      <c r="BU27" s="82" t="s">
        <v>85</v>
      </c>
      <c r="BV27" s="83"/>
      <c r="BW27" s="82" t="s">
        <v>85</v>
      </c>
      <c r="BX27" s="83"/>
      <c r="BY27" s="82" t="s">
        <v>85</v>
      </c>
      <c r="BZ27" s="83"/>
      <c r="CA27" s="82" t="s">
        <v>85</v>
      </c>
      <c r="CB27" s="83"/>
      <c r="CC27" s="82" t="s">
        <v>85</v>
      </c>
      <c r="CD27" s="83"/>
      <c r="CE27" s="82" t="s">
        <v>85</v>
      </c>
      <c r="CF27" s="83"/>
      <c r="CG27" s="82" t="s">
        <v>85</v>
      </c>
      <c r="CH27" s="82"/>
      <c r="CI27" s="82" t="s">
        <v>85</v>
      </c>
      <c r="CJ27" s="83"/>
      <c r="CK27" s="82" t="s">
        <v>85</v>
      </c>
      <c r="CL27" s="83"/>
      <c r="CM27" s="82" t="s">
        <v>85</v>
      </c>
      <c r="CN27" s="83"/>
      <c r="CO27" s="82" t="s">
        <v>85</v>
      </c>
      <c r="CP27" s="83"/>
      <c r="CQ27" s="82" t="s">
        <v>85</v>
      </c>
      <c r="CR27" s="614"/>
      <c r="CS27" s="82" t="s">
        <v>85</v>
      </c>
      <c r="CT27" s="614"/>
      <c r="CU27" s="82" t="s">
        <v>85</v>
      </c>
      <c r="CV27" s="614"/>
      <c r="CW27" s="82" t="s">
        <v>85</v>
      </c>
      <c r="CX27" s="614"/>
      <c r="CY27" s="82" t="s">
        <v>85</v>
      </c>
      <c r="CZ27" s="614"/>
      <c r="DA27" s="82" t="s">
        <v>85</v>
      </c>
      <c r="DB27" s="614"/>
      <c r="DC27" s="82" t="s">
        <v>85</v>
      </c>
      <c r="DD27" s="614"/>
      <c r="DE27" s="598">
        <v>72</v>
      </c>
      <c r="DF27" s="598" t="s">
        <v>357</v>
      </c>
      <c r="DG27" s="598">
        <v>242000</v>
      </c>
      <c r="DH27" s="598">
        <v>2400</v>
      </c>
      <c r="DI27" s="598">
        <v>9040</v>
      </c>
      <c r="DJ27" s="598">
        <v>12240</v>
      </c>
      <c r="DK27" s="285"/>
    </row>
    <row r="28" spans="1:115" ht="14.25" customHeight="1">
      <c r="A28" s="280"/>
      <c r="B28" s="280"/>
      <c r="C28" s="278"/>
      <c r="D28" s="288"/>
      <c r="F28" s="294"/>
      <c r="G28" s="289"/>
      <c r="H28" s="783" t="str">
        <f>LEFT(D10,LEN(D10)-7)&amp;" (W1, 3)"</f>
        <v>Internal flow (W1, 3)</v>
      </c>
      <c r="I28" s="788"/>
      <c r="J28" s="788"/>
      <c r="K28" s="788"/>
      <c r="L28" s="788"/>
      <c r="M28" s="788"/>
      <c r="N28" s="788"/>
      <c r="O28" s="789"/>
      <c r="P28" s="290"/>
      <c r="Q28" s="290"/>
      <c r="R28" s="290"/>
      <c r="S28" s="290"/>
      <c r="T28" s="290"/>
      <c r="U28" s="290"/>
      <c r="V28" s="290"/>
      <c r="W28" s="290"/>
      <c r="X28" s="290"/>
      <c r="Y28" s="290"/>
      <c r="Z28" s="290"/>
      <c r="AA28" s="290"/>
      <c r="AB28" s="289"/>
      <c r="AC28" s="292"/>
      <c r="AD28" s="753"/>
      <c r="AE28" s="782"/>
      <c r="AF28" s="782"/>
      <c r="AG28" s="782"/>
      <c r="AH28" s="782"/>
      <c r="AI28" s="782"/>
      <c r="AJ28" s="782"/>
      <c r="AK28" s="782"/>
      <c r="AL28" s="782"/>
      <c r="AM28" s="292"/>
      <c r="AN28" s="292"/>
      <c r="AO28" s="292"/>
      <c r="AP28" s="292"/>
      <c r="AQ28" s="292"/>
      <c r="AR28" s="292"/>
      <c r="AS28" s="292"/>
      <c r="AT28" s="207"/>
      <c r="AU28" s="209"/>
      <c r="AV28" s="209"/>
      <c r="AW28" s="209"/>
      <c r="AX28" s="207"/>
      <c r="AY28" s="209"/>
      <c r="AZ28" s="209"/>
      <c r="BA28" s="209"/>
      <c r="BB28" s="209"/>
      <c r="BC28" s="209"/>
      <c r="BD28" s="288"/>
      <c r="BE28" s="282"/>
      <c r="BF28" s="283">
        <v>12</v>
      </c>
      <c r="BG28" s="284" t="s">
        <v>53</v>
      </c>
      <c r="BH28" s="82" t="s">
        <v>313</v>
      </c>
      <c r="BI28" s="82">
        <f>VLOOKUP(B3,DE7:DJ183,3,FALSE)</f>
        <v>767700</v>
      </c>
      <c r="BJ28" s="82" t="s">
        <v>85</v>
      </c>
      <c r="BK28" s="82" t="s">
        <v>85</v>
      </c>
      <c r="BL28" s="82"/>
      <c r="BM28" s="82" t="s">
        <v>85</v>
      </c>
      <c r="BN28" s="83"/>
      <c r="BO28" s="82" t="s">
        <v>85</v>
      </c>
      <c r="BP28" s="83"/>
      <c r="BQ28" s="82" t="s">
        <v>85</v>
      </c>
      <c r="BR28" s="83"/>
      <c r="BS28" s="82" t="s">
        <v>85</v>
      </c>
      <c r="BT28" s="83"/>
      <c r="BU28" s="82" t="s">
        <v>85</v>
      </c>
      <c r="BV28" s="83"/>
      <c r="BW28" s="82" t="s">
        <v>85</v>
      </c>
      <c r="BX28" s="83"/>
      <c r="BY28" s="82" t="s">
        <v>85</v>
      </c>
      <c r="BZ28" s="83"/>
      <c r="CA28" s="82" t="s">
        <v>85</v>
      </c>
      <c r="CB28" s="83"/>
      <c r="CC28" s="82" t="s">
        <v>85</v>
      </c>
      <c r="CD28" s="83"/>
      <c r="CE28" s="82" t="s">
        <v>85</v>
      </c>
      <c r="CF28" s="83"/>
      <c r="CG28" s="82" t="s">
        <v>85</v>
      </c>
      <c r="CH28" s="82"/>
      <c r="CI28" s="82" t="s">
        <v>85</v>
      </c>
      <c r="CJ28" s="83"/>
      <c r="CK28" s="82" t="s">
        <v>85</v>
      </c>
      <c r="CL28" s="83"/>
      <c r="CM28" s="82" t="s">
        <v>85</v>
      </c>
      <c r="CN28" s="83"/>
      <c r="CO28" s="82" t="s">
        <v>85</v>
      </c>
      <c r="CP28" s="83"/>
      <c r="CQ28" s="82" t="s">
        <v>85</v>
      </c>
      <c r="CR28" s="614"/>
      <c r="CS28" s="82" t="s">
        <v>85</v>
      </c>
      <c r="CT28" s="614"/>
      <c r="CU28" s="82" t="s">
        <v>85</v>
      </c>
      <c r="CV28" s="614"/>
      <c r="CW28" s="82" t="s">
        <v>85</v>
      </c>
      <c r="CX28" s="614"/>
      <c r="CY28" s="82" t="s">
        <v>85</v>
      </c>
      <c r="CZ28" s="614"/>
      <c r="DA28" s="82" t="s">
        <v>85</v>
      </c>
      <c r="DB28" s="614"/>
      <c r="DC28" s="82" t="s">
        <v>85</v>
      </c>
      <c r="DD28" s="614"/>
      <c r="DE28" s="598">
        <v>76</v>
      </c>
      <c r="DF28" s="598" t="s">
        <v>358</v>
      </c>
      <c r="DG28" s="598">
        <v>14995000</v>
      </c>
      <c r="DH28" s="598">
        <v>5661000</v>
      </c>
      <c r="DI28" s="598">
        <v>2986000</v>
      </c>
      <c r="DJ28" s="598">
        <v>8647000</v>
      </c>
      <c r="DK28" s="285"/>
    </row>
    <row r="29" spans="1:115" ht="33.75" customHeight="1">
      <c r="A29" s="280"/>
      <c r="B29" s="280"/>
      <c r="C29" s="278"/>
      <c r="D29" s="288"/>
      <c r="E29" s="288"/>
      <c r="F29" s="292"/>
      <c r="G29" s="292"/>
      <c r="H29" s="291"/>
      <c r="I29" s="291"/>
      <c r="J29" s="291"/>
      <c r="K29" s="291"/>
      <c r="L29" s="291"/>
      <c r="M29" s="291"/>
      <c r="N29" s="291"/>
      <c r="O29" s="291"/>
      <c r="P29" s="291"/>
      <c r="Q29" s="291"/>
      <c r="R29" s="291"/>
      <c r="S29" s="291"/>
      <c r="T29" s="291"/>
      <c r="U29" s="291"/>
      <c r="V29" s="783" t="str">
        <f>D13&amp;" (W1, 6)"</f>
        <v>Outflow of surface and groundwaters to neighbouring countries (W1, 6)</v>
      </c>
      <c r="W29" s="784"/>
      <c r="X29" s="784"/>
      <c r="Y29" s="784"/>
      <c r="Z29" s="784"/>
      <c r="AA29" s="785"/>
      <c r="AB29" s="292"/>
      <c r="AC29" s="292"/>
      <c r="AD29" s="292"/>
      <c r="AE29" s="292"/>
      <c r="AF29" s="292"/>
      <c r="AG29" s="292"/>
      <c r="AH29" s="292"/>
      <c r="AI29" s="292"/>
      <c r="AJ29" s="292"/>
      <c r="AK29" s="292"/>
      <c r="AL29" s="292"/>
      <c r="AM29" s="292"/>
      <c r="AN29" s="292"/>
      <c r="AO29" s="292"/>
      <c r="AP29" s="292"/>
      <c r="AQ29" s="292"/>
      <c r="AR29" s="292"/>
      <c r="AS29" s="292"/>
      <c r="AT29" s="753"/>
      <c r="AU29" s="753"/>
      <c r="AV29" s="753"/>
      <c r="AW29" s="753"/>
      <c r="AX29" s="753"/>
      <c r="AY29" s="753"/>
      <c r="AZ29" s="753"/>
      <c r="BA29" s="753"/>
      <c r="BB29" s="753"/>
      <c r="BC29" s="754"/>
      <c r="BD29" s="288"/>
      <c r="BE29" s="282"/>
      <c r="BF29" s="287" t="s">
        <v>182</v>
      </c>
      <c r="BG29" s="295" t="s">
        <v>233</v>
      </c>
      <c r="BH29" s="82" t="s">
        <v>313</v>
      </c>
      <c r="BI29" s="82">
        <f>ABS(BI27-BI28)</f>
        <v>766756.4</v>
      </c>
      <c r="BJ29" s="83" t="s">
        <v>85</v>
      </c>
      <c r="BK29" s="82" t="s">
        <v>85</v>
      </c>
      <c r="BL29" s="83"/>
      <c r="BM29" s="82" t="s">
        <v>85</v>
      </c>
      <c r="BN29" s="83"/>
      <c r="BO29" s="82" t="s">
        <v>85</v>
      </c>
      <c r="BP29" s="83"/>
      <c r="BQ29" s="82" t="s">
        <v>85</v>
      </c>
      <c r="BR29" s="83"/>
      <c r="BS29" s="82" t="s">
        <v>85</v>
      </c>
      <c r="BT29" s="83"/>
      <c r="BU29" s="82" t="s">
        <v>85</v>
      </c>
      <c r="BV29" s="83"/>
      <c r="BW29" s="82" t="s">
        <v>85</v>
      </c>
      <c r="BX29" s="83"/>
      <c r="BY29" s="82" t="s">
        <v>85</v>
      </c>
      <c r="BZ29" s="83"/>
      <c r="CA29" s="82" t="s">
        <v>85</v>
      </c>
      <c r="CB29" s="83"/>
      <c r="CC29" s="82" t="s">
        <v>85</v>
      </c>
      <c r="CD29" s="83"/>
      <c r="CE29" s="82" t="s">
        <v>85</v>
      </c>
      <c r="CF29" s="83"/>
      <c r="CG29" s="82" t="s">
        <v>85</v>
      </c>
      <c r="CH29" s="82"/>
      <c r="CI29" s="82" t="s">
        <v>85</v>
      </c>
      <c r="CJ29" s="83"/>
      <c r="CK29" s="82" t="s">
        <v>85</v>
      </c>
      <c r="CL29" s="83"/>
      <c r="CM29" s="82" t="s">
        <v>85</v>
      </c>
      <c r="CN29" s="83"/>
      <c r="CO29" s="82" t="s">
        <v>85</v>
      </c>
      <c r="CP29" s="83"/>
      <c r="CQ29" s="82" t="s">
        <v>85</v>
      </c>
      <c r="CR29" s="614"/>
      <c r="CS29" s="82" t="s">
        <v>85</v>
      </c>
      <c r="CT29" s="614"/>
      <c r="CU29" s="82" t="s">
        <v>85</v>
      </c>
      <c r="CV29" s="614"/>
      <c r="CW29" s="82" t="s">
        <v>85</v>
      </c>
      <c r="CX29" s="614"/>
      <c r="CY29" s="82" t="s">
        <v>85</v>
      </c>
      <c r="CZ29" s="614"/>
      <c r="DA29" s="82" t="s">
        <v>85</v>
      </c>
      <c r="DB29" s="614"/>
      <c r="DC29" s="82" t="s">
        <v>85</v>
      </c>
      <c r="DD29" s="614"/>
      <c r="DE29" s="598">
        <v>96</v>
      </c>
      <c r="DF29" s="598" t="s">
        <v>359</v>
      </c>
      <c r="DG29" s="598">
        <v>15710</v>
      </c>
      <c r="DH29" s="598">
        <v>8500</v>
      </c>
      <c r="DI29" s="598">
        <v>0</v>
      </c>
      <c r="DJ29" s="598">
        <v>8500</v>
      </c>
      <c r="DK29" s="285"/>
    </row>
    <row r="30" spans="1:115" ht="44.25" customHeight="1">
      <c r="A30" s="280"/>
      <c r="B30" s="280"/>
      <c r="C30" s="278"/>
      <c r="D30" s="288"/>
      <c r="E30" s="288"/>
      <c r="F30" s="783" t="str">
        <f>D11&amp;" (W1, 4)"</f>
        <v>Inflow of surface and groundwaters from neighbouring countries (W1, 4)</v>
      </c>
      <c r="G30" s="790"/>
      <c r="H30" s="790"/>
      <c r="I30" s="791"/>
      <c r="J30" s="291"/>
      <c r="K30" s="291"/>
      <c r="L30" s="291"/>
      <c r="M30" s="783" t="str">
        <f>LEFT(D12,LEN(D12)-7)&amp;" (W1, 5)"</f>
        <v>Renewable freshwater resources (W1, 5)</v>
      </c>
      <c r="N30" s="792"/>
      <c r="O30" s="792"/>
      <c r="P30" s="793"/>
      <c r="Q30" s="291"/>
      <c r="R30" s="291"/>
      <c r="S30" s="291"/>
      <c r="T30" s="291"/>
      <c r="U30" s="291"/>
      <c r="V30" s="291"/>
      <c r="W30" s="291"/>
      <c r="X30" s="291"/>
      <c r="Y30" s="291"/>
      <c r="Z30" s="291"/>
      <c r="AA30" s="291"/>
      <c r="AB30" s="753"/>
      <c r="AC30" s="772"/>
      <c r="AD30" s="772"/>
      <c r="AE30" s="772"/>
      <c r="AF30" s="292"/>
      <c r="AG30" s="292"/>
      <c r="AH30" s="292"/>
      <c r="AI30" s="292"/>
      <c r="AJ30" s="292"/>
      <c r="AK30" s="753"/>
      <c r="AL30" s="754"/>
      <c r="AM30" s="754"/>
      <c r="AN30" s="754"/>
      <c r="AO30" s="292"/>
      <c r="AP30" s="292"/>
      <c r="AQ30" s="292"/>
      <c r="AR30" s="292"/>
      <c r="AS30" s="292"/>
      <c r="AT30" s="289"/>
      <c r="AU30" s="289"/>
      <c r="AV30" s="289"/>
      <c r="AW30" s="289"/>
      <c r="AX30" s="289"/>
      <c r="AY30" s="289"/>
      <c r="AZ30" s="289"/>
      <c r="BA30" s="289"/>
      <c r="BB30" s="289"/>
      <c r="BC30" s="296"/>
      <c r="BD30" s="292"/>
      <c r="BE30" s="282"/>
      <c r="BF30" s="82">
        <v>3</v>
      </c>
      <c r="BG30" s="248" t="s">
        <v>20</v>
      </c>
      <c r="BH30" s="82" t="s">
        <v>313</v>
      </c>
      <c r="BI30" s="82">
        <f>F10</f>
        <v>904.6</v>
      </c>
      <c r="BJ30" s="83" t="s">
        <v>85</v>
      </c>
      <c r="BK30" s="82" t="s">
        <v>85</v>
      </c>
      <c r="BL30" s="83"/>
      <c r="BM30" s="82" t="s">
        <v>85</v>
      </c>
      <c r="BN30" s="83"/>
      <c r="BO30" s="82" t="s">
        <v>85</v>
      </c>
      <c r="BP30" s="83"/>
      <c r="BQ30" s="82" t="s">
        <v>85</v>
      </c>
      <c r="BR30" s="83"/>
      <c r="BS30" s="82" t="s">
        <v>85</v>
      </c>
      <c r="BT30" s="83"/>
      <c r="BU30" s="82" t="s">
        <v>85</v>
      </c>
      <c r="BV30" s="83"/>
      <c r="BW30" s="82" t="s">
        <v>85</v>
      </c>
      <c r="BX30" s="83"/>
      <c r="BY30" s="82" t="s">
        <v>85</v>
      </c>
      <c r="BZ30" s="83"/>
      <c r="CA30" s="82" t="s">
        <v>85</v>
      </c>
      <c r="CB30" s="83"/>
      <c r="CC30" s="82" t="s">
        <v>85</v>
      </c>
      <c r="CD30" s="83"/>
      <c r="CE30" s="82" t="s">
        <v>85</v>
      </c>
      <c r="CF30" s="83"/>
      <c r="CG30" s="82" t="s">
        <v>85</v>
      </c>
      <c r="CH30" s="82"/>
      <c r="CI30" s="82" t="s">
        <v>85</v>
      </c>
      <c r="CJ30" s="83"/>
      <c r="CK30" s="82" t="s">
        <v>85</v>
      </c>
      <c r="CL30" s="83"/>
      <c r="CM30" s="82" t="s">
        <v>85</v>
      </c>
      <c r="CN30" s="83"/>
      <c r="CO30" s="82" t="s">
        <v>85</v>
      </c>
      <c r="CP30" s="83"/>
      <c r="CQ30" s="82" t="s">
        <v>85</v>
      </c>
      <c r="CR30" s="614"/>
      <c r="CS30" s="82" t="s">
        <v>85</v>
      </c>
      <c r="CT30" s="614"/>
      <c r="CU30" s="82" t="s">
        <v>85</v>
      </c>
      <c r="CV30" s="614"/>
      <c r="CW30" s="82" t="s">
        <v>85</v>
      </c>
      <c r="CX30" s="614"/>
      <c r="CY30" s="82" t="s">
        <v>85</v>
      </c>
      <c r="CZ30" s="614"/>
      <c r="DA30" s="82" t="s">
        <v>85</v>
      </c>
      <c r="DB30" s="614"/>
      <c r="DC30" s="82" t="s">
        <v>85</v>
      </c>
      <c r="DD30" s="614"/>
      <c r="DE30" s="598">
        <v>100</v>
      </c>
      <c r="DF30" s="598" t="s">
        <v>360</v>
      </c>
      <c r="DG30" s="598">
        <v>67490</v>
      </c>
      <c r="DH30" s="598">
        <v>21000</v>
      </c>
      <c r="DI30" s="598">
        <v>300</v>
      </c>
      <c r="DJ30" s="598">
        <v>21300</v>
      </c>
      <c r="DK30" s="285"/>
    </row>
    <row r="31" spans="1:115" s="202" customFormat="1" ht="44.25" customHeight="1">
      <c r="A31" s="280"/>
      <c r="B31" s="280"/>
      <c r="C31" s="278"/>
      <c r="E31" s="294"/>
      <c r="F31" s="289"/>
      <c r="G31" s="289"/>
      <c r="H31" s="290"/>
      <c r="I31" s="297"/>
      <c r="J31" s="297"/>
      <c r="K31" s="297"/>
      <c r="L31" s="297"/>
      <c r="M31" s="297"/>
      <c r="N31" s="297"/>
      <c r="O31" s="297"/>
      <c r="P31" s="297"/>
      <c r="Q31" s="297"/>
      <c r="R31" s="297"/>
      <c r="S31" s="297"/>
      <c r="T31" s="297"/>
      <c r="U31" s="297"/>
      <c r="V31" s="783" t="str">
        <f>D16&amp;" (W1, 9)"</f>
        <v>Outflow of surface and groundwaters to the sea (W1, 9)</v>
      </c>
      <c r="W31" s="784"/>
      <c r="X31" s="784"/>
      <c r="Y31" s="784"/>
      <c r="Z31" s="784"/>
      <c r="AA31" s="785"/>
      <c r="AB31" s="753"/>
      <c r="AC31" s="772"/>
      <c r="AD31" s="772"/>
      <c r="AE31" s="772"/>
      <c r="AF31" s="624"/>
      <c r="AG31" s="294"/>
      <c r="AH31" s="289"/>
      <c r="AI31" s="289"/>
      <c r="AJ31" s="289"/>
      <c r="AK31" s="753"/>
      <c r="AL31" s="754"/>
      <c r="AM31" s="754"/>
      <c r="AN31" s="754"/>
      <c r="AO31" s="626"/>
      <c r="AP31" s="626"/>
      <c r="AQ31" s="208"/>
      <c r="AR31" s="208"/>
      <c r="AS31" s="208"/>
      <c r="AT31" s="753"/>
      <c r="AU31" s="753"/>
      <c r="AV31" s="753"/>
      <c r="AW31" s="753"/>
      <c r="AX31" s="753"/>
      <c r="AY31" s="753"/>
      <c r="AZ31" s="753"/>
      <c r="BA31" s="753"/>
      <c r="BB31" s="753"/>
      <c r="BC31" s="754"/>
      <c r="BD31" s="298"/>
      <c r="BE31" s="282"/>
      <c r="BF31" s="299">
        <v>13</v>
      </c>
      <c r="BG31" s="284" t="s">
        <v>54</v>
      </c>
      <c r="BH31" s="82" t="s">
        <v>313</v>
      </c>
      <c r="BI31" s="82">
        <f>VLOOKUP(B3,DE7:DJ183,4,FALSE)</f>
        <v>80200</v>
      </c>
      <c r="BJ31" s="83" t="s">
        <v>85</v>
      </c>
      <c r="BK31" s="82" t="s">
        <v>85</v>
      </c>
      <c r="BL31" s="83"/>
      <c r="BM31" s="82" t="s">
        <v>85</v>
      </c>
      <c r="BN31" s="83"/>
      <c r="BO31" s="82" t="s">
        <v>85</v>
      </c>
      <c r="BP31" s="83"/>
      <c r="BQ31" s="82" t="s">
        <v>85</v>
      </c>
      <c r="BR31" s="83"/>
      <c r="BS31" s="82" t="s">
        <v>85</v>
      </c>
      <c r="BT31" s="83"/>
      <c r="BU31" s="82" t="s">
        <v>85</v>
      </c>
      <c r="BV31" s="83"/>
      <c r="BW31" s="82" t="s">
        <v>85</v>
      </c>
      <c r="BX31" s="83"/>
      <c r="BY31" s="82" t="s">
        <v>85</v>
      </c>
      <c r="BZ31" s="83"/>
      <c r="CA31" s="82" t="s">
        <v>85</v>
      </c>
      <c r="CB31" s="83"/>
      <c r="CC31" s="82" t="s">
        <v>85</v>
      </c>
      <c r="CD31" s="83"/>
      <c r="CE31" s="82" t="s">
        <v>85</v>
      </c>
      <c r="CF31" s="83"/>
      <c r="CG31" s="82" t="s">
        <v>85</v>
      </c>
      <c r="CH31" s="82"/>
      <c r="CI31" s="82" t="s">
        <v>85</v>
      </c>
      <c r="CJ31" s="83"/>
      <c r="CK31" s="82" t="s">
        <v>85</v>
      </c>
      <c r="CL31" s="83"/>
      <c r="CM31" s="82" t="s">
        <v>85</v>
      </c>
      <c r="CN31" s="83"/>
      <c r="CO31" s="82" t="s">
        <v>85</v>
      </c>
      <c r="CP31" s="83"/>
      <c r="CQ31" s="82" t="s">
        <v>85</v>
      </c>
      <c r="CR31" s="614"/>
      <c r="CS31" s="82" t="s">
        <v>85</v>
      </c>
      <c r="CT31" s="614"/>
      <c r="CU31" s="82" t="s">
        <v>85</v>
      </c>
      <c r="CV31" s="614"/>
      <c r="CW31" s="82" t="s">
        <v>85</v>
      </c>
      <c r="CX31" s="614"/>
      <c r="CY31" s="82" t="s">
        <v>85</v>
      </c>
      <c r="CZ31" s="614"/>
      <c r="DA31" s="82" t="s">
        <v>85</v>
      </c>
      <c r="DB31" s="614"/>
      <c r="DC31" s="82" t="s">
        <v>85</v>
      </c>
      <c r="DD31" s="614"/>
      <c r="DE31" s="598">
        <v>854</v>
      </c>
      <c r="DF31" s="598" t="s">
        <v>361</v>
      </c>
      <c r="DG31" s="598">
        <v>205100</v>
      </c>
      <c r="DH31" s="598">
        <v>12500</v>
      </c>
      <c r="DI31" s="598">
        <v>1000</v>
      </c>
      <c r="DJ31" s="598">
        <v>13500</v>
      </c>
      <c r="DK31" s="209"/>
    </row>
    <row r="32" spans="1:115" s="202" customFormat="1" ht="24.75" customHeight="1">
      <c r="A32" s="280"/>
      <c r="B32" s="280"/>
      <c r="C32" s="278"/>
      <c r="E32" s="300"/>
      <c r="F32" s="300"/>
      <c r="G32" s="209"/>
      <c r="I32" s="298"/>
      <c r="J32" s="298"/>
      <c r="K32" s="298"/>
      <c r="L32" s="298"/>
      <c r="M32" s="298"/>
      <c r="N32" s="298"/>
      <c r="O32" s="298"/>
      <c r="P32" s="298"/>
      <c r="Q32" s="298"/>
      <c r="R32" s="298"/>
      <c r="S32" s="298"/>
      <c r="T32" s="298"/>
      <c r="U32" s="298"/>
      <c r="V32" s="298"/>
      <c r="W32" s="298"/>
      <c r="X32" s="298"/>
      <c r="Y32" s="298"/>
      <c r="Z32" s="298"/>
      <c r="AA32" s="300"/>
      <c r="AB32" s="300"/>
      <c r="AC32" s="300"/>
      <c r="AD32" s="298"/>
      <c r="AE32" s="298"/>
      <c r="AF32" s="300"/>
      <c r="AG32" s="300"/>
      <c r="AH32" s="300"/>
      <c r="AI32" s="300"/>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15"/>
      <c r="BF32" s="287" t="s">
        <v>182</v>
      </c>
      <c r="BG32" s="284" t="s">
        <v>234</v>
      </c>
      <c r="BH32" s="82" t="s">
        <v>313</v>
      </c>
      <c r="BI32" s="82">
        <f>ABS(BI30-BI31)</f>
        <v>79295.4</v>
      </c>
      <c r="BJ32" s="82" t="s">
        <v>85</v>
      </c>
      <c r="BK32" s="82" t="s">
        <v>85</v>
      </c>
      <c r="BL32" s="82"/>
      <c r="BM32" s="82" t="s">
        <v>85</v>
      </c>
      <c r="BN32" s="82"/>
      <c r="BO32" s="82" t="s">
        <v>85</v>
      </c>
      <c r="BP32" s="82"/>
      <c r="BQ32" s="82" t="s">
        <v>85</v>
      </c>
      <c r="BR32" s="82"/>
      <c r="BS32" s="82" t="s">
        <v>85</v>
      </c>
      <c r="BT32" s="82"/>
      <c r="BU32" s="82" t="s">
        <v>85</v>
      </c>
      <c r="BV32" s="82"/>
      <c r="BW32" s="82" t="s">
        <v>85</v>
      </c>
      <c r="BX32" s="82"/>
      <c r="BY32" s="82" t="s">
        <v>85</v>
      </c>
      <c r="BZ32" s="82"/>
      <c r="CA32" s="82" t="s">
        <v>85</v>
      </c>
      <c r="CB32" s="82"/>
      <c r="CC32" s="82" t="s">
        <v>85</v>
      </c>
      <c r="CD32" s="82"/>
      <c r="CE32" s="82" t="s">
        <v>85</v>
      </c>
      <c r="CF32" s="82"/>
      <c r="CG32" s="82" t="s">
        <v>85</v>
      </c>
      <c r="CH32" s="82"/>
      <c r="CI32" s="82" t="s">
        <v>85</v>
      </c>
      <c r="CJ32" s="82"/>
      <c r="CK32" s="82" t="s">
        <v>85</v>
      </c>
      <c r="CL32" s="82"/>
      <c r="CM32" s="82" t="s">
        <v>85</v>
      </c>
      <c r="CN32" s="82"/>
      <c r="CO32" s="82" t="s">
        <v>85</v>
      </c>
      <c r="CP32" s="82"/>
      <c r="CQ32" s="82" t="s">
        <v>85</v>
      </c>
      <c r="CR32" s="82"/>
      <c r="CS32" s="82" t="s">
        <v>85</v>
      </c>
      <c r="CT32" s="82"/>
      <c r="CU32" s="82" t="s">
        <v>85</v>
      </c>
      <c r="CV32" s="82"/>
      <c r="CW32" s="82" t="s">
        <v>85</v>
      </c>
      <c r="CX32" s="82"/>
      <c r="CY32" s="82" t="s">
        <v>85</v>
      </c>
      <c r="CZ32" s="82"/>
      <c r="DA32" s="82" t="s">
        <v>85</v>
      </c>
      <c r="DB32" s="82"/>
      <c r="DC32" s="82" t="s">
        <v>85</v>
      </c>
      <c r="DD32" s="82"/>
      <c r="DE32" s="598">
        <v>108</v>
      </c>
      <c r="DF32" s="598" t="s">
        <v>362</v>
      </c>
      <c r="DG32" s="598">
        <v>35460</v>
      </c>
      <c r="DH32" s="598">
        <v>10060</v>
      </c>
      <c r="DI32" s="598">
        <v>126</v>
      </c>
      <c r="DJ32" s="598">
        <v>12540</v>
      </c>
      <c r="DK32" s="209"/>
    </row>
    <row r="33" spans="1:115" s="217" customFormat="1" ht="22.5">
      <c r="A33" s="212"/>
      <c r="B33" s="181">
        <v>1</v>
      </c>
      <c r="C33" s="301" t="s">
        <v>312</v>
      </c>
      <c r="D33" s="302"/>
      <c r="E33" s="301"/>
      <c r="F33" s="303"/>
      <c r="G33" s="304"/>
      <c r="H33" s="305"/>
      <c r="I33" s="306"/>
      <c r="J33" s="305"/>
      <c r="K33" s="306"/>
      <c r="L33" s="305"/>
      <c r="M33" s="306"/>
      <c r="N33" s="305"/>
      <c r="O33" s="306"/>
      <c r="P33" s="305"/>
      <c r="Q33" s="306"/>
      <c r="R33" s="305"/>
      <c r="S33" s="306"/>
      <c r="T33" s="305"/>
      <c r="U33" s="306"/>
      <c r="V33" s="305"/>
      <c r="W33" s="304"/>
      <c r="X33" s="305"/>
      <c r="Y33" s="304"/>
      <c r="Z33" s="305"/>
      <c r="AA33" s="304"/>
      <c r="AB33" s="305"/>
      <c r="AC33" s="304"/>
      <c r="AD33" s="305"/>
      <c r="AE33" s="304"/>
      <c r="AF33" s="305"/>
      <c r="AG33" s="304"/>
      <c r="AH33" s="305"/>
      <c r="AI33" s="306"/>
      <c r="AJ33" s="305"/>
      <c r="AK33" s="304"/>
      <c r="AL33" s="305"/>
      <c r="AM33" s="304"/>
      <c r="AN33" s="305"/>
      <c r="AO33" s="304"/>
      <c r="AP33" s="304"/>
      <c r="AQ33" s="304"/>
      <c r="AR33" s="304"/>
      <c r="AS33" s="304"/>
      <c r="AT33" s="305"/>
      <c r="AU33" s="307"/>
      <c r="AV33" s="303"/>
      <c r="AW33" s="303"/>
      <c r="AX33" s="305"/>
      <c r="AY33" s="307"/>
      <c r="AZ33" s="303"/>
      <c r="BA33" s="303"/>
      <c r="BB33" s="303"/>
      <c r="BC33" s="303"/>
      <c r="BD33" s="303"/>
      <c r="BE33" s="191"/>
      <c r="BF33" s="82">
        <v>4</v>
      </c>
      <c r="BG33" s="248" t="s">
        <v>24</v>
      </c>
      <c r="BH33" s="82" t="s">
        <v>313</v>
      </c>
      <c r="BI33" s="82">
        <f>F11</f>
        <v>0</v>
      </c>
      <c r="BJ33" s="82" t="s">
        <v>85</v>
      </c>
      <c r="BK33" s="82" t="s">
        <v>85</v>
      </c>
      <c r="BL33" s="82"/>
      <c r="BM33" s="82" t="s">
        <v>85</v>
      </c>
      <c r="BN33" s="82"/>
      <c r="BO33" s="82" t="s">
        <v>85</v>
      </c>
      <c r="BP33" s="82"/>
      <c r="BQ33" s="82" t="s">
        <v>85</v>
      </c>
      <c r="BR33" s="82"/>
      <c r="BS33" s="82" t="s">
        <v>85</v>
      </c>
      <c r="BT33" s="82"/>
      <c r="BU33" s="82" t="s">
        <v>85</v>
      </c>
      <c r="BV33" s="82"/>
      <c r="BW33" s="82" t="s">
        <v>85</v>
      </c>
      <c r="BX33" s="82"/>
      <c r="BY33" s="82" t="s">
        <v>85</v>
      </c>
      <c r="BZ33" s="82"/>
      <c r="CA33" s="82" t="s">
        <v>85</v>
      </c>
      <c r="CB33" s="82"/>
      <c r="CC33" s="82" t="s">
        <v>85</v>
      </c>
      <c r="CD33" s="82"/>
      <c r="CE33" s="82" t="s">
        <v>85</v>
      </c>
      <c r="CF33" s="82"/>
      <c r="CG33" s="82" t="s">
        <v>85</v>
      </c>
      <c r="CH33" s="82"/>
      <c r="CI33" s="82" t="s">
        <v>85</v>
      </c>
      <c r="CJ33" s="82"/>
      <c r="CK33" s="82" t="s">
        <v>85</v>
      </c>
      <c r="CL33" s="82"/>
      <c r="CM33" s="82" t="s">
        <v>85</v>
      </c>
      <c r="CN33" s="82"/>
      <c r="CO33" s="82" t="s">
        <v>85</v>
      </c>
      <c r="CP33" s="82"/>
      <c r="CQ33" s="82" t="s">
        <v>85</v>
      </c>
      <c r="CR33" s="82"/>
      <c r="CS33" s="82" t="s">
        <v>85</v>
      </c>
      <c r="CT33" s="82"/>
      <c r="CU33" s="82" t="s">
        <v>85</v>
      </c>
      <c r="CV33" s="82"/>
      <c r="CW33" s="82" t="s">
        <v>85</v>
      </c>
      <c r="CX33" s="82"/>
      <c r="CY33" s="82" t="s">
        <v>85</v>
      </c>
      <c r="CZ33" s="82"/>
      <c r="DA33" s="82" t="s">
        <v>85</v>
      </c>
      <c r="DB33" s="82"/>
      <c r="DC33" s="82" t="s">
        <v>85</v>
      </c>
      <c r="DD33" s="82"/>
      <c r="DE33" s="598">
        <v>132</v>
      </c>
      <c r="DF33" s="598" t="s">
        <v>522</v>
      </c>
      <c r="DG33" s="598">
        <v>918.8</v>
      </c>
      <c r="DH33" s="598">
        <v>300</v>
      </c>
      <c r="DI33" s="598">
        <v>0</v>
      </c>
      <c r="DJ33" s="598">
        <v>300</v>
      </c>
      <c r="DK33" s="308"/>
    </row>
    <row r="34" spans="3:114" ht="6" customHeight="1">
      <c r="C34" s="309"/>
      <c r="D34" s="310"/>
      <c r="E34" s="311"/>
      <c r="F34" s="202"/>
      <c r="G34" s="208"/>
      <c r="H34" s="207"/>
      <c r="I34" s="289"/>
      <c r="J34" s="207"/>
      <c r="K34" s="289"/>
      <c r="L34" s="207"/>
      <c r="M34" s="289"/>
      <c r="N34" s="207"/>
      <c r="O34" s="289"/>
      <c r="P34" s="207"/>
      <c r="Q34" s="289"/>
      <c r="R34" s="207"/>
      <c r="S34" s="289"/>
      <c r="T34" s="207"/>
      <c r="U34" s="289"/>
      <c r="V34" s="207"/>
      <c r="W34" s="208"/>
      <c r="X34" s="207"/>
      <c r="Y34" s="208"/>
      <c r="Z34" s="207"/>
      <c r="AA34" s="208"/>
      <c r="AB34" s="207"/>
      <c r="AC34" s="208"/>
      <c r="AD34" s="207"/>
      <c r="AE34" s="208"/>
      <c r="AF34" s="207"/>
      <c r="AG34" s="208"/>
      <c r="AH34" s="207"/>
      <c r="AI34" s="289"/>
      <c r="AJ34" s="207"/>
      <c r="AK34" s="208"/>
      <c r="AL34" s="207"/>
      <c r="AM34" s="208"/>
      <c r="AN34" s="207"/>
      <c r="AO34" s="208"/>
      <c r="AP34" s="208"/>
      <c r="AQ34" s="208"/>
      <c r="AR34" s="208"/>
      <c r="AS34" s="208"/>
      <c r="AT34" s="207"/>
      <c r="AU34" s="201"/>
      <c r="AV34" s="202"/>
      <c r="AW34" s="202"/>
      <c r="AX34" s="207"/>
      <c r="AY34" s="201"/>
      <c r="AZ34" s="202"/>
      <c r="BA34" s="202"/>
      <c r="BB34" s="202"/>
      <c r="BC34" s="202"/>
      <c r="BD34" s="202"/>
      <c r="BF34" s="283">
        <v>14</v>
      </c>
      <c r="BG34" s="284" t="s">
        <v>56</v>
      </c>
      <c r="BH34" s="82" t="s">
        <v>313</v>
      </c>
      <c r="BI34" s="82">
        <f>VLOOKUP(B3,DE7:DJ183,5,FALSE)</f>
        <v>24600</v>
      </c>
      <c r="BJ34" s="82" t="s">
        <v>85</v>
      </c>
      <c r="BK34" s="82" t="s">
        <v>85</v>
      </c>
      <c r="BL34" s="82"/>
      <c r="BM34" s="82" t="s">
        <v>85</v>
      </c>
      <c r="BN34" s="82"/>
      <c r="BO34" s="82" t="s">
        <v>85</v>
      </c>
      <c r="BP34" s="82"/>
      <c r="BQ34" s="82" t="s">
        <v>85</v>
      </c>
      <c r="BR34" s="82"/>
      <c r="BS34" s="82" t="s">
        <v>85</v>
      </c>
      <c r="BT34" s="82"/>
      <c r="BU34" s="82" t="s">
        <v>85</v>
      </c>
      <c r="BV34" s="82"/>
      <c r="BW34" s="82" t="s">
        <v>85</v>
      </c>
      <c r="BX34" s="82"/>
      <c r="BY34" s="82" t="s">
        <v>85</v>
      </c>
      <c r="BZ34" s="82"/>
      <c r="CA34" s="82" t="s">
        <v>85</v>
      </c>
      <c r="CB34" s="82"/>
      <c r="CC34" s="82" t="s">
        <v>85</v>
      </c>
      <c r="CD34" s="82"/>
      <c r="CE34" s="82" t="s">
        <v>85</v>
      </c>
      <c r="CF34" s="82"/>
      <c r="CG34" s="82" t="s">
        <v>85</v>
      </c>
      <c r="CH34" s="82"/>
      <c r="CI34" s="82" t="s">
        <v>85</v>
      </c>
      <c r="CJ34" s="82"/>
      <c r="CK34" s="82" t="s">
        <v>85</v>
      </c>
      <c r="CL34" s="82"/>
      <c r="CM34" s="82" t="s">
        <v>85</v>
      </c>
      <c r="CN34" s="82"/>
      <c r="CO34" s="82" t="s">
        <v>85</v>
      </c>
      <c r="CP34" s="82"/>
      <c r="CQ34" s="82" t="s">
        <v>85</v>
      </c>
      <c r="CR34" s="82"/>
      <c r="CS34" s="82" t="s">
        <v>85</v>
      </c>
      <c r="CT34" s="82"/>
      <c r="CU34" s="82" t="s">
        <v>85</v>
      </c>
      <c r="CV34" s="82"/>
      <c r="CW34" s="82" t="s">
        <v>85</v>
      </c>
      <c r="CX34" s="82"/>
      <c r="CY34" s="82" t="s">
        <v>85</v>
      </c>
      <c r="CZ34" s="82"/>
      <c r="DA34" s="82" t="s">
        <v>85</v>
      </c>
      <c r="DB34" s="82"/>
      <c r="DC34" s="82" t="s">
        <v>85</v>
      </c>
      <c r="DD34" s="82"/>
      <c r="DE34" s="598">
        <v>116</v>
      </c>
      <c r="DF34" s="598" t="s">
        <v>363</v>
      </c>
      <c r="DG34" s="598">
        <v>344700</v>
      </c>
      <c r="DH34" s="598">
        <v>120600</v>
      </c>
      <c r="DI34" s="598">
        <v>355500</v>
      </c>
      <c r="DJ34" s="598">
        <v>476100</v>
      </c>
    </row>
    <row r="35" spans="3:114" ht="18" customHeight="1">
      <c r="C35" s="312" t="s">
        <v>307</v>
      </c>
      <c r="D35" s="768" t="s">
        <v>310</v>
      </c>
      <c r="E35" s="769"/>
      <c r="F35" s="769"/>
      <c r="G35" s="769"/>
      <c r="H35" s="769"/>
      <c r="I35" s="769"/>
      <c r="J35" s="769"/>
      <c r="K35" s="769"/>
      <c r="L35" s="769"/>
      <c r="M35" s="769"/>
      <c r="N35" s="769"/>
      <c r="O35" s="769"/>
      <c r="P35" s="769"/>
      <c r="Q35" s="769"/>
      <c r="R35" s="769"/>
      <c r="S35" s="769"/>
      <c r="T35" s="769"/>
      <c r="U35" s="769"/>
      <c r="V35" s="769"/>
      <c r="W35" s="769"/>
      <c r="X35" s="769"/>
      <c r="Y35" s="769"/>
      <c r="Z35" s="769"/>
      <c r="AA35" s="769"/>
      <c r="AB35" s="769"/>
      <c r="AC35" s="769"/>
      <c r="AD35" s="769"/>
      <c r="AE35" s="769"/>
      <c r="AF35" s="769"/>
      <c r="AG35" s="769"/>
      <c r="AH35" s="769"/>
      <c r="AI35" s="769"/>
      <c r="AJ35" s="769"/>
      <c r="AK35" s="769"/>
      <c r="AL35" s="769"/>
      <c r="AM35" s="769"/>
      <c r="AN35" s="769"/>
      <c r="AO35" s="769"/>
      <c r="AP35" s="769"/>
      <c r="AQ35" s="769"/>
      <c r="AR35" s="769"/>
      <c r="AS35" s="769"/>
      <c r="AT35" s="769"/>
      <c r="AU35" s="769"/>
      <c r="AV35" s="769"/>
      <c r="AW35" s="769"/>
      <c r="AX35" s="769"/>
      <c r="AY35" s="769"/>
      <c r="AZ35" s="769"/>
      <c r="BA35" s="769"/>
      <c r="BB35" s="769"/>
      <c r="BC35" s="769"/>
      <c r="BD35" s="770"/>
      <c r="BF35" s="287" t="s">
        <v>182</v>
      </c>
      <c r="BG35" s="284" t="s">
        <v>235</v>
      </c>
      <c r="BH35" s="82" t="s">
        <v>313</v>
      </c>
      <c r="BI35" s="82">
        <f>ABS(BI33-BI34)</f>
        <v>24600</v>
      </c>
      <c r="BJ35" s="82" t="s">
        <v>85</v>
      </c>
      <c r="BK35" s="82" t="s">
        <v>85</v>
      </c>
      <c r="BL35" s="82"/>
      <c r="BM35" s="82" t="s">
        <v>85</v>
      </c>
      <c r="BN35" s="82"/>
      <c r="BO35" s="82" t="s">
        <v>85</v>
      </c>
      <c r="BP35" s="82"/>
      <c r="BQ35" s="82" t="s">
        <v>85</v>
      </c>
      <c r="BR35" s="82"/>
      <c r="BS35" s="82" t="s">
        <v>85</v>
      </c>
      <c r="BT35" s="82"/>
      <c r="BU35" s="82" t="s">
        <v>85</v>
      </c>
      <c r="BV35" s="82"/>
      <c r="BW35" s="82" t="s">
        <v>85</v>
      </c>
      <c r="BX35" s="82"/>
      <c r="BY35" s="82" t="s">
        <v>85</v>
      </c>
      <c r="BZ35" s="82"/>
      <c r="CA35" s="82" t="s">
        <v>85</v>
      </c>
      <c r="CB35" s="82"/>
      <c r="CC35" s="82" t="s">
        <v>85</v>
      </c>
      <c r="CD35" s="82"/>
      <c r="CE35" s="82" t="s">
        <v>85</v>
      </c>
      <c r="CF35" s="82"/>
      <c r="CG35" s="82" t="s">
        <v>85</v>
      </c>
      <c r="CH35" s="82"/>
      <c r="CI35" s="82" t="s">
        <v>85</v>
      </c>
      <c r="CJ35" s="82"/>
      <c r="CK35" s="82" t="s">
        <v>85</v>
      </c>
      <c r="CL35" s="82"/>
      <c r="CM35" s="82" t="s">
        <v>85</v>
      </c>
      <c r="CN35" s="82"/>
      <c r="CO35" s="82" t="s">
        <v>85</v>
      </c>
      <c r="CP35" s="82"/>
      <c r="CQ35" s="82" t="s">
        <v>85</v>
      </c>
      <c r="CR35" s="82"/>
      <c r="CS35" s="82" t="s">
        <v>85</v>
      </c>
      <c r="CT35" s="82"/>
      <c r="CU35" s="82" t="s">
        <v>85</v>
      </c>
      <c r="CV35" s="82"/>
      <c r="CW35" s="82" t="s">
        <v>85</v>
      </c>
      <c r="CX35" s="82"/>
      <c r="CY35" s="82" t="s">
        <v>85</v>
      </c>
      <c r="CZ35" s="82"/>
      <c r="DA35" s="82" t="s">
        <v>85</v>
      </c>
      <c r="DB35" s="82"/>
      <c r="DC35" s="82" t="s">
        <v>85</v>
      </c>
      <c r="DD35" s="82"/>
      <c r="DE35" s="598">
        <v>120</v>
      </c>
      <c r="DF35" s="598" t="s">
        <v>364</v>
      </c>
      <c r="DG35" s="598">
        <v>762600</v>
      </c>
      <c r="DH35" s="598">
        <v>273000</v>
      </c>
      <c r="DI35" s="598">
        <v>4000</v>
      </c>
      <c r="DJ35" s="598">
        <v>283100</v>
      </c>
    </row>
    <row r="36" spans="3:114" ht="18" customHeight="1">
      <c r="C36" s="542"/>
      <c r="D36" s="778"/>
      <c r="E36" s="779"/>
      <c r="F36" s="779"/>
      <c r="G36" s="779"/>
      <c r="H36" s="779"/>
      <c r="I36" s="779"/>
      <c r="J36" s="779"/>
      <c r="K36" s="779"/>
      <c r="L36" s="779"/>
      <c r="M36" s="779"/>
      <c r="N36" s="779"/>
      <c r="O36" s="779"/>
      <c r="P36" s="779"/>
      <c r="Q36" s="779"/>
      <c r="R36" s="779"/>
      <c r="S36" s="779"/>
      <c r="T36" s="779"/>
      <c r="U36" s="779"/>
      <c r="V36" s="779"/>
      <c r="W36" s="779"/>
      <c r="X36" s="779"/>
      <c r="Y36" s="779"/>
      <c r="Z36" s="779"/>
      <c r="AA36" s="779"/>
      <c r="AB36" s="779"/>
      <c r="AC36" s="779"/>
      <c r="AD36" s="779"/>
      <c r="AE36" s="779"/>
      <c r="AF36" s="779"/>
      <c r="AG36" s="779"/>
      <c r="AH36" s="779"/>
      <c r="AI36" s="779"/>
      <c r="AJ36" s="779"/>
      <c r="AK36" s="779"/>
      <c r="AL36" s="779"/>
      <c r="AM36" s="779"/>
      <c r="AN36" s="779"/>
      <c r="AO36" s="779"/>
      <c r="AP36" s="779"/>
      <c r="AQ36" s="779"/>
      <c r="AR36" s="779"/>
      <c r="AS36" s="779"/>
      <c r="AT36" s="779"/>
      <c r="AU36" s="779"/>
      <c r="AV36" s="779"/>
      <c r="AW36" s="779"/>
      <c r="AX36" s="779"/>
      <c r="AY36" s="779"/>
      <c r="AZ36" s="779"/>
      <c r="BA36" s="779"/>
      <c r="BB36" s="779"/>
      <c r="BC36" s="779"/>
      <c r="BD36" s="780"/>
      <c r="BF36" s="97">
        <v>5</v>
      </c>
      <c r="BG36" s="257" t="s">
        <v>19</v>
      </c>
      <c r="BH36" s="82" t="s">
        <v>313</v>
      </c>
      <c r="BI36" s="82">
        <f>F12</f>
        <v>0</v>
      </c>
      <c r="BJ36" s="82" t="s">
        <v>85</v>
      </c>
      <c r="BK36" s="82" t="s">
        <v>85</v>
      </c>
      <c r="BL36" s="82"/>
      <c r="BM36" s="82" t="s">
        <v>85</v>
      </c>
      <c r="BN36" s="82"/>
      <c r="BO36" s="82" t="s">
        <v>85</v>
      </c>
      <c r="BP36" s="82"/>
      <c r="BQ36" s="82" t="s">
        <v>85</v>
      </c>
      <c r="BR36" s="82"/>
      <c r="BS36" s="82" t="s">
        <v>85</v>
      </c>
      <c r="BT36" s="82"/>
      <c r="BU36" s="82" t="s">
        <v>85</v>
      </c>
      <c r="BV36" s="82"/>
      <c r="BW36" s="82" t="s">
        <v>85</v>
      </c>
      <c r="BX36" s="82"/>
      <c r="BY36" s="82" t="s">
        <v>85</v>
      </c>
      <c r="BZ36" s="82"/>
      <c r="CA36" s="82" t="s">
        <v>85</v>
      </c>
      <c r="CB36" s="82"/>
      <c r="CC36" s="82" t="s">
        <v>85</v>
      </c>
      <c r="CD36" s="82"/>
      <c r="CE36" s="82" t="s">
        <v>85</v>
      </c>
      <c r="CF36" s="82"/>
      <c r="CG36" s="82" t="s">
        <v>85</v>
      </c>
      <c r="CH36" s="82"/>
      <c r="CI36" s="82" t="s">
        <v>85</v>
      </c>
      <c r="CJ36" s="82"/>
      <c r="CK36" s="82" t="s">
        <v>85</v>
      </c>
      <c r="CL36" s="82"/>
      <c r="CM36" s="82" t="s">
        <v>85</v>
      </c>
      <c r="CN36" s="82"/>
      <c r="CO36" s="82" t="s">
        <v>85</v>
      </c>
      <c r="CP36" s="82"/>
      <c r="CQ36" s="82" t="s">
        <v>85</v>
      </c>
      <c r="CR36" s="82"/>
      <c r="CS36" s="82" t="s">
        <v>85</v>
      </c>
      <c r="CT36" s="82"/>
      <c r="CU36" s="82" t="s">
        <v>85</v>
      </c>
      <c r="CV36" s="82"/>
      <c r="CW36" s="82" t="s">
        <v>85</v>
      </c>
      <c r="CX36" s="82"/>
      <c r="CY36" s="82" t="s">
        <v>85</v>
      </c>
      <c r="CZ36" s="82"/>
      <c r="DA36" s="82" t="s">
        <v>85</v>
      </c>
      <c r="DB36" s="82"/>
      <c r="DC36" s="82" t="s">
        <v>85</v>
      </c>
      <c r="DD36" s="82"/>
      <c r="DE36" s="598">
        <v>140</v>
      </c>
      <c r="DF36" s="598" t="s">
        <v>365</v>
      </c>
      <c r="DG36" s="598">
        <v>836700</v>
      </c>
      <c r="DH36" s="598">
        <v>141000</v>
      </c>
      <c r="DI36" s="598">
        <v>0</v>
      </c>
      <c r="DJ36" s="598">
        <v>141000</v>
      </c>
    </row>
    <row r="37" spans="3:114" ht="18" customHeight="1">
      <c r="C37" s="542"/>
      <c r="D37" s="755"/>
      <c r="E37" s="756"/>
      <c r="F37" s="756"/>
      <c r="G37" s="756"/>
      <c r="H37" s="756"/>
      <c r="I37" s="756"/>
      <c r="J37" s="756"/>
      <c r="K37" s="756"/>
      <c r="L37" s="756"/>
      <c r="M37" s="756"/>
      <c r="N37" s="756"/>
      <c r="O37" s="756"/>
      <c r="P37" s="756"/>
      <c r="Q37" s="756"/>
      <c r="R37" s="756"/>
      <c r="S37" s="756"/>
      <c r="T37" s="756"/>
      <c r="U37" s="756"/>
      <c r="V37" s="756"/>
      <c r="W37" s="756"/>
      <c r="X37" s="756"/>
      <c r="Y37" s="756"/>
      <c r="Z37" s="756"/>
      <c r="AA37" s="756"/>
      <c r="AB37" s="756"/>
      <c r="AC37" s="756"/>
      <c r="AD37" s="756"/>
      <c r="AE37" s="756"/>
      <c r="AF37" s="756"/>
      <c r="AG37" s="756"/>
      <c r="AH37" s="756"/>
      <c r="AI37" s="756"/>
      <c r="AJ37" s="756"/>
      <c r="AK37" s="756"/>
      <c r="AL37" s="756"/>
      <c r="AM37" s="756"/>
      <c r="AN37" s="756"/>
      <c r="AO37" s="756"/>
      <c r="AP37" s="756"/>
      <c r="AQ37" s="756"/>
      <c r="AR37" s="756"/>
      <c r="AS37" s="756"/>
      <c r="AT37" s="756"/>
      <c r="AU37" s="756"/>
      <c r="AV37" s="756"/>
      <c r="AW37" s="756"/>
      <c r="AX37" s="756"/>
      <c r="AY37" s="756"/>
      <c r="AZ37" s="756"/>
      <c r="BA37" s="756"/>
      <c r="BB37" s="756"/>
      <c r="BC37" s="756"/>
      <c r="BD37" s="757"/>
      <c r="BF37" s="283">
        <v>15</v>
      </c>
      <c r="BG37" s="284" t="s">
        <v>55</v>
      </c>
      <c r="BH37" s="82" t="s">
        <v>313</v>
      </c>
      <c r="BI37" s="82">
        <f>VLOOKUP(B3,DE7:DJ183,6,FALSE)</f>
        <v>104800</v>
      </c>
      <c r="BJ37" s="82" t="s">
        <v>85</v>
      </c>
      <c r="BK37" s="82" t="s">
        <v>85</v>
      </c>
      <c r="BL37" s="82"/>
      <c r="BM37" s="82" t="s">
        <v>85</v>
      </c>
      <c r="BN37" s="82"/>
      <c r="BO37" s="82" t="s">
        <v>85</v>
      </c>
      <c r="BP37" s="82"/>
      <c r="BQ37" s="82" t="s">
        <v>85</v>
      </c>
      <c r="BR37" s="82"/>
      <c r="BS37" s="82" t="s">
        <v>85</v>
      </c>
      <c r="BT37" s="82"/>
      <c r="BU37" s="82" t="s">
        <v>85</v>
      </c>
      <c r="BV37" s="82"/>
      <c r="BW37" s="82" t="s">
        <v>85</v>
      </c>
      <c r="BX37" s="82"/>
      <c r="BY37" s="82" t="s">
        <v>85</v>
      </c>
      <c r="BZ37" s="82"/>
      <c r="CA37" s="82" t="s">
        <v>85</v>
      </c>
      <c r="CB37" s="82"/>
      <c r="CC37" s="82" t="s">
        <v>85</v>
      </c>
      <c r="CD37" s="82"/>
      <c r="CE37" s="82" t="s">
        <v>85</v>
      </c>
      <c r="CF37" s="82"/>
      <c r="CG37" s="82" t="s">
        <v>85</v>
      </c>
      <c r="CH37" s="82"/>
      <c r="CI37" s="82" t="s">
        <v>85</v>
      </c>
      <c r="CJ37" s="82"/>
      <c r="CK37" s="82" t="s">
        <v>85</v>
      </c>
      <c r="CL37" s="82"/>
      <c r="CM37" s="82" t="s">
        <v>85</v>
      </c>
      <c r="CN37" s="82"/>
      <c r="CO37" s="82" t="s">
        <v>85</v>
      </c>
      <c r="CP37" s="82"/>
      <c r="CQ37" s="82" t="s">
        <v>85</v>
      </c>
      <c r="CR37" s="82"/>
      <c r="CS37" s="82" t="s">
        <v>85</v>
      </c>
      <c r="CT37" s="82"/>
      <c r="CU37" s="82" t="s">
        <v>85</v>
      </c>
      <c r="CV37" s="82"/>
      <c r="CW37" s="82" t="s">
        <v>85</v>
      </c>
      <c r="CX37" s="82"/>
      <c r="CY37" s="82" t="s">
        <v>85</v>
      </c>
      <c r="CZ37" s="82"/>
      <c r="DA37" s="82" t="s">
        <v>85</v>
      </c>
      <c r="DB37" s="82"/>
      <c r="DC37" s="82" t="s">
        <v>85</v>
      </c>
      <c r="DD37" s="82"/>
      <c r="DE37" s="598">
        <v>148</v>
      </c>
      <c r="DF37" s="598" t="s">
        <v>366</v>
      </c>
      <c r="DG37" s="598">
        <v>413400</v>
      </c>
      <c r="DH37" s="598">
        <v>15000</v>
      </c>
      <c r="DI37" s="598">
        <v>30700</v>
      </c>
      <c r="DJ37" s="598">
        <v>45700</v>
      </c>
    </row>
    <row r="38" spans="3:114" ht="18" customHeight="1">
      <c r="C38" s="542"/>
      <c r="D38" s="755"/>
      <c r="E38" s="756"/>
      <c r="F38" s="756"/>
      <c r="G38" s="756"/>
      <c r="H38" s="756"/>
      <c r="I38" s="756"/>
      <c r="J38" s="756"/>
      <c r="K38" s="756"/>
      <c r="L38" s="756"/>
      <c r="M38" s="756"/>
      <c r="N38" s="756"/>
      <c r="O38" s="756"/>
      <c r="P38" s="756"/>
      <c r="Q38" s="756"/>
      <c r="R38" s="756"/>
      <c r="S38" s="756"/>
      <c r="T38" s="756"/>
      <c r="U38" s="756"/>
      <c r="V38" s="756"/>
      <c r="W38" s="756"/>
      <c r="X38" s="756"/>
      <c r="Y38" s="756"/>
      <c r="Z38" s="756"/>
      <c r="AA38" s="756"/>
      <c r="AB38" s="756"/>
      <c r="AC38" s="756"/>
      <c r="AD38" s="756"/>
      <c r="AE38" s="756"/>
      <c r="AF38" s="756"/>
      <c r="AG38" s="756"/>
      <c r="AH38" s="756"/>
      <c r="AI38" s="756"/>
      <c r="AJ38" s="756"/>
      <c r="AK38" s="756"/>
      <c r="AL38" s="756"/>
      <c r="AM38" s="756"/>
      <c r="AN38" s="756"/>
      <c r="AO38" s="756"/>
      <c r="AP38" s="756"/>
      <c r="AQ38" s="756"/>
      <c r="AR38" s="756"/>
      <c r="AS38" s="756"/>
      <c r="AT38" s="756"/>
      <c r="AU38" s="756"/>
      <c r="AV38" s="756"/>
      <c r="AW38" s="756"/>
      <c r="AX38" s="756"/>
      <c r="AY38" s="756"/>
      <c r="AZ38" s="756"/>
      <c r="BA38" s="756"/>
      <c r="BB38" s="756"/>
      <c r="BC38" s="756"/>
      <c r="BD38" s="757"/>
      <c r="BF38" s="313" t="s">
        <v>182</v>
      </c>
      <c r="BG38" s="314" t="s">
        <v>236</v>
      </c>
      <c r="BH38" s="95" t="s">
        <v>313</v>
      </c>
      <c r="BI38" s="95">
        <f>ABS(BI36-BI37)</f>
        <v>104800</v>
      </c>
      <c r="BJ38" s="95" t="s">
        <v>85</v>
      </c>
      <c r="BK38" s="95" t="s">
        <v>85</v>
      </c>
      <c r="BL38" s="95"/>
      <c r="BM38" s="95" t="s">
        <v>85</v>
      </c>
      <c r="BN38" s="95"/>
      <c r="BO38" s="95" t="s">
        <v>85</v>
      </c>
      <c r="BP38" s="95"/>
      <c r="BQ38" s="95" t="s">
        <v>85</v>
      </c>
      <c r="BR38" s="95"/>
      <c r="BS38" s="95" t="s">
        <v>85</v>
      </c>
      <c r="BT38" s="95"/>
      <c r="BU38" s="95" t="s">
        <v>85</v>
      </c>
      <c r="BV38" s="95"/>
      <c r="BW38" s="95" t="s">
        <v>85</v>
      </c>
      <c r="BX38" s="95"/>
      <c r="BY38" s="95" t="s">
        <v>85</v>
      </c>
      <c r="BZ38" s="95"/>
      <c r="CA38" s="95" t="s">
        <v>85</v>
      </c>
      <c r="CB38" s="95"/>
      <c r="CC38" s="95" t="s">
        <v>85</v>
      </c>
      <c r="CD38" s="95"/>
      <c r="CE38" s="95" t="s">
        <v>85</v>
      </c>
      <c r="CF38" s="95"/>
      <c r="CG38" s="95" t="s">
        <v>85</v>
      </c>
      <c r="CH38" s="95"/>
      <c r="CI38" s="95" t="s">
        <v>85</v>
      </c>
      <c r="CJ38" s="95"/>
      <c r="CK38" s="95" t="s">
        <v>85</v>
      </c>
      <c r="CL38" s="95"/>
      <c r="CM38" s="95" t="s">
        <v>85</v>
      </c>
      <c r="CN38" s="95"/>
      <c r="CO38" s="95" t="s">
        <v>85</v>
      </c>
      <c r="CP38" s="95"/>
      <c r="CQ38" s="95" t="s">
        <v>85</v>
      </c>
      <c r="CR38" s="95"/>
      <c r="CS38" s="95" t="s">
        <v>85</v>
      </c>
      <c r="CT38" s="95"/>
      <c r="CU38" s="95" t="s">
        <v>85</v>
      </c>
      <c r="CV38" s="95"/>
      <c r="CW38" s="95" t="s">
        <v>85</v>
      </c>
      <c r="CX38" s="95"/>
      <c r="CY38" s="95" t="s">
        <v>85</v>
      </c>
      <c r="CZ38" s="95"/>
      <c r="DA38" s="95" t="s">
        <v>85</v>
      </c>
      <c r="DB38" s="95"/>
      <c r="DC38" s="95" t="s">
        <v>85</v>
      </c>
      <c r="DD38" s="95"/>
      <c r="DE38" s="598">
        <v>156</v>
      </c>
      <c r="DF38" s="598" t="s">
        <v>367</v>
      </c>
      <c r="DG38" s="598">
        <v>6192000</v>
      </c>
      <c r="DH38" s="598">
        <v>2813000</v>
      </c>
      <c r="DI38" s="598">
        <v>17170</v>
      </c>
      <c r="DJ38" s="598">
        <v>2840000</v>
      </c>
    </row>
    <row r="39" spans="3:114" ht="18" customHeight="1">
      <c r="C39" s="542"/>
      <c r="D39" s="755"/>
      <c r="E39" s="756"/>
      <c r="F39" s="756"/>
      <c r="G39" s="756"/>
      <c r="H39" s="756"/>
      <c r="I39" s="756"/>
      <c r="J39" s="756"/>
      <c r="K39" s="756"/>
      <c r="L39" s="756"/>
      <c r="M39" s="756"/>
      <c r="N39" s="756"/>
      <c r="O39" s="756"/>
      <c r="P39" s="756"/>
      <c r="Q39" s="756"/>
      <c r="R39" s="756"/>
      <c r="S39" s="756"/>
      <c r="T39" s="756"/>
      <c r="U39" s="756"/>
      <c r="V39" s="756"/>
      <c r="W39" s="756"/>
      <c r="X39" s="756"/>
      <c r="Y39" s="756"/>
      <c r="Z39" s="756"/>
      <c r="AA39" s="756"/>
      <c r="AB39" s="756"/>
      <c r="AC39" s="756"/>
      <c r="AD39" s="756"/>
      <c r="AE39" s="756"/>
      <c r="AF39" s="756"/>
      <c r="AG39" s="756"/>
      <c r="AH39" s="756"/>
      <c r="AI39" s="756"/>
      <c r="AJ39" s="756"/>
      <c r="AK39" s="756"/>
      <c r="AL39" s="756"/>
      <c r="AM39" s="756"/>
      <c r="AN39" s="756"/>
      <c r="AO39" s="756"/>
      <c r="AP39" s="756"/>
      <c r="AQ39" s="756"/>
      <c r="AR39" s="756"/>
      <c r="AS39" s="756"/>
      <c r="AT39" s="756"/>
      <c r="AU39" s="756"/>
      <c r="AV39" s="756"/>
      <c r="AW39" s="756"/>
      <c r="AX39" s="756"/>
      <c r="AY39" s="756"/>
      <c r="AZ39" s="756"/>
      <c r="BA39" s="756"/>
      <c r="BB39" s="756"/>
      <c r="BC39" s="756"/>
      <c r="BD39" s="757"/>
      <c r="BF39" s="315" t="s">
        <v>57</v>
      </c>
      <c r="BG39" s="316" t="s">
        <v>58</v>
      </c>
      <c r="DE39" s="598">
        <v>344</v>
      </c>
      <c r="DF39" s="598" t="s">
        <v>368</v>
      </c>
      <c r="DG39" s="598"/>
      <c r="DH39" s="598"/>
      <c r="DI39" s="598"/>
      <c r="DJ39" s="598"/>
    </row>
    <row r="40" spans="3:114" ht="18" customHeight="1">
      <c r="C40" s="542"/>
      <c r="D40" s="755"/>
      <c r="E40" s="756"/>
      <c r="F40" s="756"/>
      <c r="G40" s="756"/>
      <c r="H40" s="756"/>
      <c r="I40" s="756"/>
      <c r="J40" s="756"/>
      <c r="K40" s="756"/>
      <c r="L40" s="756"/>
      <c r="M40" s="756"/>
      <c r="N40" s="756"/>
      <c r="O40" s="756"/>
      <c r="P40" s="756"/>
      <c r="Q40" s="756"/>
      <c r="R40" s="756"/>
      <c r="S40" s="756"/>
      <c r="T40" s="756"/>
      <c r="U40" s="756"/>
      <c r="V40" s="756"/>
      <c r="W40" s="756"/>
      <c r="X40" s="756"/>
      <c r="Y40" s="756"/>
      <c r="Z40" s="756"/>
      <c r="AA40" s="756"/>
      <c r="AB40" s="756"/>
      <c r="AC40" s="756"/>
      <c r="AD40" s="756"/>
      <c r="AE40" s="756"/>
      <c r="AF40" s="756"/>
      <c r="AG40" s="756"/>
      <c r="AH40" s="756"/>
      <c r="AI40" s="756"/>
      <c r="AJ40" s="756"/>
      <c r="AK40" s="756"/>
      <c r="AL40" s="756"/>
      <c r="AM40" s="756"/>
      <c r="AN40" s="756"/>
      <c r="AO40" s="756"/>
      <c r="AP40" s="756"/>
      <c r="AQ40" s="756"/>
      <c r="AR40" s="756"/>
      <c r="AS40" s="756"/>
      <c r="AT40" s="756"/>
      <c r="AU40" s="756"/>
      <c r="AV40" s="756"/>
      <c r="AW40" s="756"/>
      <c r="AX40" s="756"/>
      <c r="AY40" s="756"/>
      <c r="AZ40" s="756"/>
      <c r="BA40" s="756"/>
      <c r="BB40" s="756"/>
      <c r="BC40" s="756"/>
      <c r="BD40" s="757"/>
      <c r="BF40" s="315" t="s">
        <v>59</v>
      </c>
      <c r="BG40" s="316" t="s">
        <v>60</v>
      </c>
      <c r="DE40" s="598">
        <v>446</v>
      </c>
      <c r="DF40" s="598" t="s">
        <v>369</v>
      </c>
      <c r="DG40" s="598"/>
      <c r="DH40" s="598"/>
      <c r="DI40" s="598"/>
      <c r="DJ40" s="598"/>
    </row>
    <row r="41" spans="3:114" ht="18" customHeight="1">
      <c r="C41" s="542"/>
      <c r="D41" s="755"/>
      <c r="E41" s="756"/>
      <c r="F41" s="756"/>
      <c r="G41" s="756"/>
      <c r="H41" s="756"/>
      <c r="I41" s="756"/>
      <c r="J41" s="756"/>
      <c r="K41" s="756"/>
      <c r="L41" s="756"/>
      <c r="M41" s="756"/>
      <c r="N41" s="756"/>
      <c r="O41" s="756"/>
      <c r="P41" s="756"/>
      <c r="Q41" s="756"/>
      <c r="R41" s="756"/>
      <c r="S41" s="756"/>
      <c r="T41" s="756"/>
      <c r="U41" s="756"/>
      <c r="V41" s="756"/>
      <c r="W41" s="756"/>
      <c r="X41" s="756"/>
      <c r="Y41" s="756"/>
      <c r="Z41" s="756"/>
      <c r="AA41" s="756"/>
      <c r="AB41" s="756"/>
      <c r="AC41" s="756"/>
      <c r="AD41" s="756"/>
      <c r="AE41" s="756"/>
      <c r="AF41" s="756"/>
      <c r="AG41" s="756"/>
      <c r="AH41" s="756"/>
      <c r="AI41" s="756"/>
      <c r="AJ41" s="756"/>
      <c r="AK41" s="756"/>
      <c r="AL41" s="756"/>
      <c r="AM41" s="756"/>
      <c r="AN41" s="756"/>
      <c r="AO41" s="756"/>
      <c r="AP41" s="756"/>
      <c r="AQ41" s="756"/>
      <c r="AR41" s="756"/>
      <c r="AS41" s="756"/>
      <c r="AT41" s="756"/>
      <c r="AU41" s="756"/>
      <c r="AV41" s="756"/>
      <c r="AW41" s="756"/>
      <c r="AX41" s="756"/>
      <c r="AY41" s="756"/>
      <c r="AZ41" s="756"/>
      <c r="BA41" s="756"/>
      <c r="BB41" s="756"/>
      <c r="BC41" s="756"/>
      <c r="BD41" s="757"/>
      <c r="BF41" s="317" t="s">
        <v>62</v>
      </c>
      <c r="BG41" s="316" t="s">
        <v>64</v>
      </c>
      <c r="BH41" s="318"/>
      <c r="DE41" s="598">
        <v>170</v>
      </c>
      <c r="DF41" s="598" t="s">
        <v>370</v>
      </c>
      <c r="DG41" s="598">
        <v>3699000</v>
      </c>
      <c r="DH41" s="598">
        <v>2145000</v>
      </c>
      <c r="DI41" s="598">
        <v>215000</v>
      </c>
      <c r="DJ41" s="598">
        <v>2360000</v>
      </c>
    </row>
    <row r="42" spans="3:114" ht="18" customHeight="1">
      <c r="C42" s="542"/>
      <c r="D42" s="755"/>
      <c r="E42" s="756"/>
      <c r="F42" s="756"/>
      <c r="G42" s="756"/>
      <c r="H42" s="756"/>
      <c r="I42" s="756"/>
      <c r="J42" s="756"/>
      <c r="K42" s="756"/>
      <c r="L42" s="756"/>
      <c r="M42" s="756"/>
      <c r="N42" s="756"/>
      <c r="O42" s="756"/>
      <c r="P42" s="756"/>
      <c r="Q42" s="756"/>
      <c r="R42" s="756"/>
      <c r="S42" s="756"/>
      <c r="T42" s="756"/>
      <c r="U42" s="756"/>
      <c r="V42" s="756"/>
      <c r="W42" s="756"/>
      <c r="X42" s="756"/>
      <c r="Y42" s="756"/>
      <c r="Z42" s="756"/>
      <c r="AA42" s="756"/>
      <c r="AB42" s="756"/>
      <c r="AC42" s="756"/>
      <c r="AD42" s="756"/>
      <c r="AE42" s="756"/>
      <c r="AF42" s="756"/>
      <c r="AG42" s="756"/>
      <c r="AH42" s="756"/>
      <c r="AI42" s="756"/>
      <c r="AJ42" s="756"/>
      <c r="AK42" s="756"/>
      <c r="AL42" s="756"/>
      <c r="AM42" s="756"/>
      <c r="AN42" s="756"/>
      <c r="AO42" s="756"/>
      <c r="AP42" s="756"/>
      <c r="AQ42" s="756"/>
      <c r="AR42" s="756"/>
      <c r="AS42" s="756"/>
      <c r="AT42" s="756"/>
      <c r="AU42" s="756"/>
      <c r="AV42" s="756"/>
      <c r="AW42" s="756"/>
      <c r="AX42" s="756"/>
      <c r="AY42" s="756"/>
      <c r="AZ42" s="756"/>
      <c r="BA42" s="756"/>
      <c r="BB42" s="756"/>
      <c r="BC42" s="756"/>
      <c r="BD42" s="757"/>
      <c r="BF42" s="317" t="s">
        <v>61</v>
      </c>
      <c r="BG42" s="316" t="s">
        <v>13</v>
      </c>
      <c r="BH42" s="318"/>
      <c r="DE42" s="598">
        <v>174</v>
      </c>
      <c r="DF42" s="598" t="s">
        <v>371</v>
      </c>
      <c r="DG42" s="598">
        <v>1675</v>
      </c>
      <c r="DH42" s="598">
        <v>1200</v>
      </c>
      <c r="DI42" s="598">
        <v>0</v>
      </c>
      <c r="DJ42" s="598">
        <v>1200</v>
      </c>
    </row>
    <row r="43" spans="3:114" ht="18" customHeight="1">
      <c r="C43" s="542"/>
      <c r="D43" s="755"/>
      <c r="E43" s="756"/>
      <c r="F43" s="756"/>
      <c r="G43" s="756"/>
      <c r="H43" s="756"/>
      <c r="I43" s="756"/>
      <c r="J43" s="756"/>
      <c r="K43" s="756"/>
      <c r="L43" s="756"/>
      <c r="M43" s="756"/>
      <c r="N43" s="756"/>
      <c r="O43" s="756"/>
      <c r="P43" s="756"/>
      <c r="Q43" s="756"/>
      <c r="R43" s="756"/>
      <c r="S43" s="756"/>
      <c r="T43" s="756"/>
      <c r="U43" s="756"/>
      <c r="V43" s="756"/>
      <c r="W43" s="756"/>
      <c r="X43" s="756"/>
      <c r="Y43" s="756"/>
      <c r="Z43" s="756"/>
      <c r="AA43" s="756"/>
      <c r="AB43" s="756"/>
      <c r="AC43" s="756"/>
      <c r="AD43" s="756"/>
      <c r="AE43" s="756"/>
      <c r="AF43" s="756"/>
      <c r="AG43" s="756"/>
      <c r="AH43" s="756"/>
      <c r="AI43" s="756"/>
      <c r="AJ43" s="756"/>
      <c r="AK43" s="756"/>
      <c r="AL43" s="756"/>
      <c r="AM43" s="756"/>
      <c r="AN43" s="756"/>
      <c r="AO43" s="756"/>
      <c r="AP43" s="756"/>
      <c r="AQ43" s="756"/>
      <c r="AR43" s="756"/>
      <c r="AS43" s="756"/>
      <c r="AT43" s="756"/>
      <c r="AU43" s="756"/>
      <c r="AV43" s="756"/>
      <c r="AW43" s="756"/>
      <c r="AX43" s="756"/>
      <c r="AY43" s="756"/>
      <c r="AZ43" s="756"/>
      <c r="BA43" s="756"/>
      <c r="BB43" s="756"/>
      <c r="BC43" s="756"/>
      <c r="BD43" s="757"/>
      <c r="BF43" s="315" t="s">
        <v>63</v>
      </c>
      <c r="BG43" s="316" t="s">
        <v>65</v>
      </c>
      <c r="BH43" s="318"/>
      <c r="DE43" s="598">
        <v>178</v>
      </c>
      <c r="DF43" s="598" t="s">
        <v>372</v>
      </c>
      <c r="DG43" s="598">
        <v>562900</v>
      </c>
      <c r="DH43" s="598">
        <v>222000</v>
      </c>
      <c r="DI43" s="598">
        <v>52000</v>
      </c>
      <c r="DJ43" s="598">
        <v>832000</v>
      </c>
    </row>
    <row r="44" spans="3:114" ht="18" customHeight="1">
      <c r="C44" s="542"/>
      <c r="D44" s="755"/>
      <c r="E44" s="756"/>
      <c r="F44" s="756"/>
      <c r="G44" s="756"/>
      <c r="H44" s="756"/>
      <c r="I44" s="756"/>
      <c r="J44" s="756"/>
      <c r="K44" s="756"/>
      <c r="L44" s="756"/>
      <c r="M44" s="756"/>
      <c r="N44" s="756"/>
      <c r="O44" s="756"/>
      <c r="P44" s="756"/>
      <c r="Q44" s="756"/>
      <c r="R44" s="756"/>
      <c r="S44" s="756"/>
      <c r="T44" s="756"/>
      <c r="U44" s="756"/>
      <c r="V44" s="756"/>
      <c r="W44" s="756"/>
      <c r="X44" s="756"/>
      <c r="Y44" s="756"/>
      <c r="Z44" s="756"/>
      <c r="AA44" s="756"/>
      <c r="AB44" s="756"/>
      <c r="AC44" s="756"/>
      <c r="AD44" s="756"/>
      <c r="AE44" s="756"/>
      <c r="AF44" s="756"/>
      <c r="AG44" s="756"/>
      <c r="AH44" s="756"/>
      <c r="AI44" s="756"/>
      <c r="AJ44" s="756"/>
      <c r="AK44" s="756"/>
      <c r="AL44" s="756"/>
      <c r="AM44" s="756"/>
      <c r="AN44" s="756"/>
      <c r="AO44" s="756"/>
      <c r="AP44" s="756"/>
      <c r="AQ44" s="756"/>
      <c r="AR44" s="756"/>
      <c r="AS44" s="756"/>
      <c r="AT44" s="756"/>
      <c r="AU44" s="756"/>
      <c r="AV44" s="756"/>
      <c r="AW44" s="756"/>
      <c r="AX44" s="756"/>
      <c r="AY44" s="756"/>
      <c r="AZ44" s="756"/>
      <c r="BA44" s="756"/>
      <c r="BB44" s="756"/>
      <c r="BC44" s="756"/>
      <c r="BD44" s="757"/>
      <c r="BH44" s="318"/>
      <c r="DE44" s="598">
        <v>188</v>
      </c>
      <c r="DF44" s="598" t="s">
        <v>373</v>
      </c>
      <c r="DG44" s="598">
        <v>149500</v>
      </c>
      <c r="DH44" s="598">
        <v>113000</v>
      </c>
      <c r="DI44" s="598">
        <v>0</v>
      </c>
      <c r="DJ44" s="598">
        <v>113000</v>
      </c>
    </row>
    <row r="45" spans="3:114" ht="18" customHeight="1">
      <c r="C45" s="542"/>
      <c r="D45" s="755"/>
      <c r="E45" s="756"/>
      <c r="F45" s="756"/>
      <c r="G45" s="756"/>
      <c r="H45" s="756"/>
      <c r="I45" s="756"/>
      <c r="J45" s="756"/>
      <c r="K45" s="756"/>
      <c r="L45" s="756"/>
      <c r="M45" s="756"/>
      <c r="N45" s="756"/>
      <c r="O45" s="756"/>
      <c r="P45" s="756"/>
      <c r="Q45" s="756"/>
      <c r="R45" s="756"/>
      <c r="S45" s="756"/>
      <c r="T45" s="756"/>
      <c r="U45" s="756"/>
      <c r="V45" s="756"/>
      <c r="W45" s="756"/>
      <c r="X45" s="756"/>
      <c r="Y45" s="756"/>
      <c r="Z45" s="756"/>
      <c r="AA45" s="756"/>
      <c r="AB45" s="756"/>
      <c r="AC45" s="756"/>
      <c r="AD45" s="756"/>
      <c r="AE45" s="756"/>
      <c r="AF45" s="756"/>
      <c r="AG45" s="756"/>
      <c r="AH45" s="756"/>
      <c r="AI45" s="756"/>
      <c r="AJ45" s="756"/>
      <c r="AK45" s="756"/>
      <c r="AL45" s="756"/>
      <c r="AM45" s="756"/>
      <c r="AN45" s="756"/>
      <c r="AO45" s="756"/>
      <c r="AP45" s="756"/>
      <c r="AQ45" s="756"/>
      <c r="AR45" s="756"/>
      <c r="AS45" s="756"/>
      <c r="AT45" s="756"/>
      <c r="AU45" s="756"/>
      <c r="AV45" s="756"/>
      <c r="AW45" s="756"/>
      <c r="AX45" s="756"/>
      <c r="AY45" s="756"/>
      <c r="AZ45" s="756"/>
      <c r="BA45" s="756"/>
      <c r="BB45" s="756"/>
      <c r="BC45" s="756"/>
      <c r="BD45" s="757"/>
      <c r="DE45" s="598">
        <v>384</v>
      </c>
      <c r="DF45" s="598" t="s">
        <v>154</v>
      </c>
      <c r="DG45" s="598">
        <v>434700</v>
      </c>
      <c r="DH45" s="598">
        <v>76840</v>
      </c>
      <c r="DI45" s="598">
        <v>4300</v>
      </c>
      <c r="DJ45" s="598">
        <v>84140</v>
      </c>
    </row>
    <row r="46" spans="3:114" ht="18" customHeight="1">
      <c r="C46" s="542"/>
      <c r="D46" s="755"/>
      <c r="E46" s="756"/>
      <c r="F46" s="756"/>
      <c r="G46" s="756"/>
      <c r="H46" s="756"/>
      <c r="I46" s="756"/>
      <c r="J46" s="756"/>
      <c r="K46" s="756"/>
      <c r="L46" s="756"/>
      <c r="M46" s="756"/>
      <c r="N46" s="756"/>
      <c r="O46" s="756"/>
      <c r="P46" s="756"/>
      <c r="Q46" s="756"/>
      <c r="R46" s="756"/>
      <c r="S46" s="756"/>
      <c r="T46" s="756"/>
      <c r="U46" s="756"/>
      <c r="V46" s="756"/>
      <c r="W46" s="756"/>
      <c r="X46" s="756"/>
      <c r="Y46" s="756"/>
      <c r="Z46" s="756"/>
      <c r="AA46" s="756"/>
      <c r="AB46" s="756"/>
      <c r="AC46" s="756"/>
      <c r="AD46" s="756"/>
      <c r="AE46" s="756"/>
      <c r="AF46" s="756"/>
      <c r="AG46" s="756"/>
      <c r="AH46" s="756"/>
      <c r="AI46" s="756"/>
      <c r="AJ46" s="756"/>
      <c r="AK46" s="756"/>
      <c r="AL46" s="756"/>
      <c r="AM46" s="756"/>
      <c r="AN46" s="756"/>
      <c r="AO46" s="756"/>
      <c r="AP46" s="756"/>
      <c r="AQ46" s="756"/>
      <c r="AR46" s="756"/>
      <c r="AS46" s="756"/>
      <c r="AT46" s="756"/>
      <c r="AU46" s="756"/>
      <c r="AV46" s="756"/>
      <c r="AW46" s="756"/>
      <c r="AX46" s="756"/>
      <c r="AY46" s="756"/>
      <c r="AZ46" s="756"/>
      <c r="BA46" s="756"/>
      <c r="BB46" s="756"/>
      <c r="BC46" s="756"/>
      <c r="BD46" s="757"/>
      <c r="BH46" s="318"/>
      <c r="DE46" s="598">
        <v>191</v>
      </c>
      <c r="DF46" s="598" t="s">
        <v>374</v>
      </c>
      <c r="DG46" s="598">
        <v>62980</v>
      </c>
      <c r="DH46" s="598">
        <v>37700</v>
      </c>
      <c r="DI46" s="598">
        <v>33470</v>
      </c>
      <c r="DJ46" s="598">
        <v>105500</v>
      </c>
    </row>
    <row r="47" spans="3:114" ht="18" customHeight="1">
      <c r="C47" s="542"/>
      <c r="D47" s="755"/>
      <c r="E47" s="756"/>
      <c r="F47" s="756"/>
      <c r="G47" s="756"/>
      <c r="H47" s="756"/>
      <c r="I47" s="756"/>
      <c r="J47" s="756"/>
      <c r="K47" s="756"/>
      <c r="L47" s="756"/>
      <c r="M47" s="756"/>
      <c r="N47" s="756"/>
      <c r="O47" s="756"/>
      <c r="P47" s="756"/>
      <c r="Q47" s="756"/>
      <c r="R47" s="756"/>
      <c r="S47" s="756"/>
      <c r="T47" s="756"/>
      <c r="U47" s="756"/>
      <c r="V47" s="756"/>
      <c r="W47" s="756"/>
      <c r="X47" s="756"/>
      <c r="Y47" s="756"/>
      <c r="Z47" s="756"/>
      <c r="AA47" s="756"/>
      <c r="AB47" s="756"/>
      <c r="AC47" s="756"/>
      <c r="AD47" s="756"/>
      <c r="AE47" s="756"/>
      <c r="AF47" s="756"/>
      <c r="AG47" s="756"/>
      <c r="AH47" s="756"/>
      <c r="AI47" s="756"/>
      <c r="AJ47" s="756"/>
      <c r="AK47" s="756"/>
      <c r="AL47" s="756"/>
      <c r="AM47" s="756"/>
      <c r="AN47" s="756"/>
      <c r="AO47" s="756"/>
      <c r="AP47" s="756"/>
      <c r="AQ47" s="756"/>
      <c r="AR47" s="756"/>
      <c r="AS47" s="756"/>
      <c r="AT47" s="756"/>
      <c r="AU47" s="756"/>
      <c r="AV47" s="756"/>
      <c r="AW47" s="756"/>
      <c r="AX47" s="756"/>
      <c r="AY47" s="756"/>
      <c r="AZ47" s="756"/>
      <c r="BA47" s="756"/>
      <c r="BB47" s="756"/>
      <c r="BC47" s="756"/>
      <c r="BD47" s="757"/>
      <c r="BF47" s="318"/>
      <c r="BG47" s="318"/>
      <c r="BH47" s="318"/>
      <c r="DE47" s="598">
        <v>192</v>
      </c>
      <c r="DF47" s="598" t="s">
        <v>375</v>
      </c>
      <c r="DG47" s="598">
        <v>146700</v>
      </c>
      <c r="DH47" s="598">
        <v>38120</v>
      </c>
      <c r="DI47" s="598">
        <v>0</v>
      </c>
      <c r="DJ47" s="598">
        <v>38120</v>
      </c>
    </row>
    <row r="48" spans="3:114" ht="18" customHeight="1">
      <c r="C48" s="542"/>
      <c r="D48" s="755"/>
      <c r="E48" s="756"/>
      <c r="F48" s="756"/>
      <c r="G48" s="756"/>
      <c r="H48" s="756"/>
      <c r="I48" s="756"/>
      <c r="J48" s="756"/>
      <c r="K48" s="756"/>
      <c r="L48" s="756"/>
      <c r="M48" s="756"/>
      <c r="N48" s="756"/>
      <c r="O48" s="756"/>
      <c r="P48" s="756"/>
      <c r="Q48" s="756"/>
      <c r="R48" s="756"/>
      <c r="S48" s="756"/>
      <c r="T48" s="756"/>
      <c r="U48" s="756"/>
      <c r="V48" s="756"/>
      <c r="W48" s="756"/>
      <c r="X48" s="756"/>
      <c r="Y48" s="756"/>
      <c r="Z48" s="756"/>
      <c r="AA48" s="756"/>
      <c r="AB48" s="756"/>
      <c r="AC48" s="756"/>
      <c r="AD48" s="756"/>
      <c r="AE48" s="756"/>
      <c r="AF48" s="756"/>
      <c r="AG48" s="756"/>
      <c r="AH48" s="756"/>
      <c r="AI48" s="756"/>
      <c r="AJ48" s="756"/>
      <c r="AK48" s="756"/>
      <c r="AL48" s="756"/>
      <c r="AM48" s="756"/>
      <c r="AN48" s="756"/>
      <c r="AO48" s="756"/>
      <c r="AP48" s="756"/>
      <c r="AQ48" s="756"/>
      <c r="AR48" s="756"/>
      <c r="AS48" s="756"/>
      <c r="AT48" s="756"/>
      <c r="AU48" s="756"/>
      <c r="AV48" s="756"/>
      <c r="AW48" s="756"/>
      <c r="AX48" s="756"/>
      <c r="AY48" s="756"/>
      <c r="AZ48" s="756"/>
      <c r="BA48" s="756"/>
      <c r="BB48" s="756"/>
      <c r="BC48" s="756"/>
      <c r="BD48" s="757"/>
      <c r="DE48" s="598">
        <v>196</v>
      </c>
      <c r="DF48" s="598" t="s">
        <v>376</v>
      </c>
      <c r="DG48" s="598">
        <v>4606</v>
      </c>
      <c r="DH48" s="598">
        <v>780</v>
      </c>
      <c r="DI48" s="598">
        <v>0</v>
      </c>
      <c r="DJ48" s="598">
        <v>780</v>
      </c>
    </row>
    <row r="49" spans="3:114" ht="18" customHeight="1">
      <c r="C49" s="542"/>
      <c r="D49" s="755"/>
      <c r="E49" s="756"/>
      <c r="F49" s="756"/>
      <c r="G49" s="756"/>
      <c r="H49" s="756"/>
      <c r="I49" s="756"/>
      <c r="J49" s="756"/>
      <c r="K49" s="756"/>
      <c r="L49" s="756"/>
      <c r="M49" s="756"/>
      <c r="N49" s="756"/>
      <c r="O49" s="756"/>
      <c r="P49" s="756"/>
      <c r="Q49" s="756"/>
      <c r="R49" s="756"/>
      <c r="S49" s="756"/>
      <c r="T49" s="756"/>
      <c r="U49" s="756"/>
      <c r="V49" s="756"/>
      <c r="W49" s="756"/>
      <c r="X49" s="756"/>
      <c r="Y49" s="756"/>
      <c r="Z49" s="756"/>
      <c r="AA49" s="756"/>
      <c r="AB49" s="756"/>
      <c r="AC49" s="756"/>
      <c r="AD49" s="756"/>
      <c r="AE49" s="756"/>
      <c r="AF49" s="756"/>
      <c r="AG49" s="756"/>
      <c r="AH49" s="756"/>
      <c r="AI49" s="756"/>
      <c r="AJ49" s="756"/>
      <c r="AK49" s="756"/>
      <c r="AL49" s="756"/>
      <c r="AM49" s="756"/>
      <c r="AN49" s="756"/>
      <c r="AO49" s="756"/>
      <c r="AP49" s="756"/>
      <c r="AQ49" s="756"/>
      <c r="AR49" s="756"/>
      <c r="AS49" s="756"/>
      <c r="AT49" s="756"/>
      <c r="AU49" s="756"/>
      <c r="AV49" s="756"/>
      <c r="AW49" s="756"/>
      <c r="AX49" s="756"/>
      <c r="AY49" s="756"/>
      <c r="AZ49" s="756"/>
      <c r="BA49" s="756"/>
      <c r="BB49" s="756"/>
      <c r="BC49" s="756"/>
      <c r="BD49" s="757"/>
      <c r="DE49" s="598">
        <v>408</v>
      </c>
      <c r="DF49" s="598" t="s">
        <v>155</v>
      </c>
      <c r="DG49" s="598">
        <v>127000</v>
      </c>
      <c r="DH49" s="598">
        <v>67000</v>
      </c>
      <c r="DI49" s="598">
        <v>0</v>
      </c>
      <c r="DJ49" s="598">
        <v>77150</v>
      </c>
    </row>
    <row r="50" spans="3:114" ht="18" customHeight="1">
      <c r="C50" s="542"/>
      <c r="D50" s="755"/>
      <c r="E50" s="756"/>
      <c r="F50" s="756"/>
      <c r="G50" s="756"/>
      <c r="H50" s="756"/>
      <c r="I50" s="756"/>
      <c r="J50" s="756"/>
      <c r="K50" s="756"/>
      <c r="L50" s="756"/>
      <c r="M50" s="756"/>
      <c r="N50" s="756"/>
      <c r="O50" s="756"/>
      <c r="P50" s="756"/>
      <c r="Q50" s="756"/>
      <c r="R50" s="756"/>
      <c r="S50" s="756"/>
      <c r="T50" s="756"/>
      <c r="U50" s="756"/>
      <c r="V50" s="756"/>
      <c r="W50" s="756"/>
      <c r="X50" s="756"/>
      <c r="Y50" s="756"/>
      <c r="Z50" s="756"/>
      <c r="AA50" s="756"/>
      <c r="AB50" s="756"/>
      <c r="AC50" s="756"/>
      <c r="AD50" s="756"/>
      <c r="AE50" s="756"/>
      <c r="AF50" s="756"/>
      <c r="AG50" s="756"/>
      <c r="AH50" s="756"/>
      <c r="AI50" s="756"/>
      <c r="AJ50" s="756"/>
      <c r="AK50" s="756"/>
      <c r="AL50" s="756"/>
      <c r="AM50" s="756"/>
      <c r="AN50" s="756"/>
      <c r="AO50" s="756"/>
      <c r="AP50" s="756"/>
      <c r="AQ50" s="756"/>
      <c r="AR50" s="756"/>
      <c r="AS50" s="756"/>
      <c r="AT50" s="756"/>
      <c r="AU50" s="756"/>
      <c r="AV50" s="756"/>
      <c r="AW50" s="756"/>
      <c r="AX50" s="756"/>
      <c r="AY50" s="756"/>
      <c r="AZ50" s="756"/>
      <c r="BA50" s="756"/>
      <c r="BB50" s="756"/>
      <c r="BC50" s="756"/>
      <c r="BD50" s="757"/>
      <c r="DE50" s="598">
        <v>180</v>
      </c>
      <c r="DF50" s="598" t="s">
        <v>156</v>
      </c>
      <c r="DG50" s="598">
        <v>3618000</v>
      </c>
      <c r="DH50" s="598">
        <v>900000</v>
      </c>
      <c r="DI50" s="598">
        <v>383000</v>
      </c>
      <c r="DJ50" s="598">
        <v>1283000</v>
      </c>
    </row>
    <row r="51" spans="3:114" ht="18" customHeight="1">
      <c r="C51" s="542"/>
      <c r="D51" s="755"/>
      <c r="E51" s="756"/>
      <c r="F51" s="756"/>
      <c r="G51" s="756"/>
      <c r="H51" s="756"/>
      <c r="I51" s="756"/>
      <c r="J51" s="756"/>
      <c r="K51" s="756"/>
      <c r="L51" s="756"/>
      <c r="M51" s="756"/>
      <c r="N51" s="756"/>
      <c r="O51" s="756"/>
      <c r="P51" s="756"/>
      <c r="Q51" s="756"/>
      <c r="R51" s="756"/>
      <c r="S51" s="756"/>
      <c r="T51" s="756"/>
      <c r="U51" s="756"/>
      <c r="V51" s="756"/>
      <c r="W51" s="756"/>
      <c r="X51" s="75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6"/>
      <c r="AY51" s="756"/>
      <c r="AZ51" s="756"/>
      <c r="BA51" s="756"/>
      <c r="BB51" s="756"/>
      <c r="BC51" s="756"/>
      <c r="BD51" s="757"/>
      <c r="DE51" s="598">
        <v>262</v>
      </c>
      <c r="DF51" s="598" t="s">
        <v>377</v>
      </c>
      <c r="DG51" s="598">
        <v>5104</v>
      </c>
      <c r="DH51" s="598">
        <v>300</v>
      </c>
      <c r="DI51" s="598">
        <v>0</v>
      </c>
      <c r="DJ51" s="598">
        <v>300</v>
      </c>
    </row>
    <row r="52" spans="3:114" ht="18" customHeight="1">
      <c r="C52" s="542"/>
      <c r="D52" s="755"/>
      <c r="E52" s="756"/>
      <c r="F52" s="756"/>
      <c r="G52" s="756"/>
      <c r="H52" s="756"/>
      <c r="I52" s="756"/>
      <c r="J52" s="756"/>
      <c r="K52" s="756"/>
      <c r="L52" s="756"/>
      <c r="M52" s="756"/>
      <c r="N52" s="756"/>
      <c r="O52" s="756"/>
      <c r="P52" s="756"/>
      <c r="Q52" s="756"/>
      <c r="R52" s="756"/>
      <c r="S52" s="756"/>
      <c r="T52" s="756"/>
      <c r="U52" s="756"/>
      <c r="V52" s="756"/>
      <c r="W52" s="756"/>
      <c r="X52" s="756"/>
      <c r="Y52" s="756"/>
      <c r="Z52" s="756"/>
      <c r="AA52" s="756"/>
      <c r="AB52" s="756"/>
      <c r="AC52" s="756"/>
      <c r="AD52" s="756"/>
      <c r="AE52" s="756"/>
      <c r="AF52" s="756"/>
      <c r="AG52" s="756"/>
      <c r="AH52" s="756"/>
      <c r="AI52" s="756"/>
      <c r="AJ52" s="756"/>
      <c r="AK52" s="756"/>
      <c r="AL52" s="756"/>
      <c r="AM52" s="756"/>
      <c r="AN52" s="756"/>
      <c r="AO52" s="756"/>
      <c r="AP52" s="756"/>
      <c r="AQ52" s="756"/>
      <c r="AR52" s="756"/>
      <c r="AS52" s="756"/>
      <c r="AT52" s="756"/>
      <c r="AU52" s="756"/>
      <c r="AV52" s="756"/>
      <c r="AW52" s="756"/>
      <c r="AX52" s="756"/>
      <c r="AY52" s="756"/>
      <c r="AZ52" s="756"/>
      <c r="BA52" s="756"/>
      <c r="BB52" s="756"/>
      <c r="BC52" s="756"/>
      <c r="BD52" s="757"/>
      <c r="DE52" s="598">
        <v>212</v>
      </c>
      <c r="DF52" s="598" t="s">
        <v>378</v>
      </c>
      <c r="DG52" s="598">
        <v>1562</v>
      </c>
      <c r="DH52" s="598">
        <v>200</v>
      </c>
      <c r="DI52" s="598">
        <v>0</v>
      </c>
      <c r="DJ52" s="598">
        <v>200</v>
      </c>
    </row>
    <row r="53" spans="3:114" ht="18" customHeight="1">
      <c r="C53" s="542"/>
      <c r="D53" s="755"/>
      <c r="E53" s="756"/>
      <c r="F53" s="756"/>
      <c r="G53" s="756"/>
      <c r="H53" s="756"/>
      <c r="I53" s="756"/>
      <c r="J53" s="756"/>
      <c r="K53" s="756"/>
      <c r="L53" s="756"/>
      <c r="M53" s="756"/>
      <c r="N53" s="756"/>
      <c r="O53" s="756"/>
      <c r="P53" s="756"/>
      <c r="Q53" s="756"/>
      <c r="R53" s="756"/>
      <c r="S53" s="756"/>
      <c r="T53" s="756"/>
      <c r="U53" s="756"/>
      <c r="V53" s="756"/>
      <c r="W53" s="756"/>
      <c r="X53" s="756"/>
      <c r="Y53" s="756"/>
      <c r="Z53" s="756"/>
      <c r="AA53" s="756"/>
      <c r="AB53" s="756"/>
      <c r="AC53" s="756"/>
      <c r="AD53" s="756"/>
      <c r="AE53" s="756"/>
      <c r="AF53" s="756"/>
      <c r="AG53" s="756"/>
      <c r="AH53" s="756"/>
      <c r="AI53" s="756"/>
      <c r="AJ53" s="756"/>
      <c r="AK53" s="756"/>
      <c r="AL53" s="756"/>
      <c r="AM53" s="756"/>
      <c r="AN53" s="756"/>
      <c r="AO53" s="756"/>
      <c r="AP53" s="756"/>
      <c r="AQ53" s="756"/>
      <c r="AR53" s="756"/>
      <c r="AS53" s="756"/>
      <c r="AT53" s="756"/>
      <c r="AU53" s="756"/>
      <c r="AV53" s="756"/>
      <c r="AW53" s="756"/>
      <c r="AX53" s="756"/>
      <c r="AY53" s="756"/>
      <c r="AZ53" s="756"/>
      <c r="BA53" s="756"/>
      <c r="BB53" s="756"/>
      <c r="BC53" s="756"/>
      <c r="BD53" s="757"/>
      <c r="DE53" s="598">
        <v>214</v>
      </c>
      <c r="DF53" s="598" t="s">
        <v>379</v>
      </c>
      <c r="DG53" s="598">
        <v>68620</v>
      </c>
      <c r="DH53" s="598">
        <v>23500</v>
      </c>
      <c r="DI53" s="598">
        <v>0</v>
      </c>
      <c r="DJ53" s="598">
        <v>23500</v>
      </c>
    </row>
    <row r="54" spans="3:114" ht="18" customHeight="1">
      <c r="C54" s="542"/>
      <c r="D54" s="755"/>
      <c r="E54" s="756"/>
      <c r="F54" s="756"/>
      <c r="G54" s="756"/>
      <c r="H54" s="756"/>
      <c r="I54" s="756"/>
      <c r="J54" s="756"/>
      <c r="K54" s="756"/>
      <c r="L54" s="756"/>
      <c r="M54" s="756"/>
      <c r="N54" s="756"/>
      <c r="O54" s="756"/>
      <c r="P54" s="756"/>
      <c r="Q54" s="756"/>
      <c r="R54" s="756"/>
      <c r="S54" s="756"/>
      <c r="T54" s="756"/>
      <c r="U54" s="756"/>
      <c r="V54" s="756"/>
      <c r="W54" s="756"/>
      <c r="X54" s="756"/>
      <c r="Y54" s="756"/>
      <c r="Z54" s="756"/>
      <c r="AA54" s="756"/>
      <c r="AB54" s="756"/>
      <c r="AC54" s="756"/>
      <c r="AD54" s="756"/>
      <c r="AE54" s="756"/>
      <c r="AF54" s="756"/>
      <c r="AG54" s="756"/>
      <c r="AH54" s="756"/>
      <c r="AI54" s="756"/>
      <c r="AJ54" s="756"/>
      <c r="AK54" s="756"/>
      <c r="AL54" s="756"/>
      <c r="AM54" s="756"/>
      <c r="AN54" s="756"/>
      <c r="AO54" s="756"/>
      <c r="AP54" s="756"/>
      <c r="AQ54" s="756"/>
      <c r="AR54" s="756"/>
      <c r="AS54" s="756"/>
      <c r="AT54" s="756"/>
      <c r="AU54" s="756"/>
      <c r="AV54" s="756"/>
      <c r="AW54" s="756"/>
      <c r="AX54" s="756"/>
      <c r="AY54" s="756"/>
      <c r="AZ54" s="756"/>
      <c r="BA54" s="756"/>
      <c r="BB54" s="756"/>
      <c r="BC54" s="756"/>
      <c r="BD54" s="757"/>
      <c r="DE54" s="598">
        <v>218</v>
      </c>
      <c r="DF54" s="598" t="s">
        <v>380</v>
      </c>
      <c r="DG54" s="598">
        <v>583000</v>
      </c>
      <c r="DH54" s="598">
        <v>442400</v>
      </c>
      <c r="DI54" s="598">
        <v>0</v>
      </c>
      <c r="DJ54" s="598">
        <v>442400</v>
      </c>
    </row>
    <row r="55" spans="3:114" ht="18" customHeight="1">
      <c r="C55" s="542"/>
      <c r="D55" s="755"/>
      <c r="E55" s="756"/>
      <c r="F55" s="756"/>
      <c r="G55" s="756"/>
      <c r="H55" s="756"/>
      <c r="I55" s="756"/>
      <c r="J55" s="756"/>
      <c r="K55" s="756"/>
      <c r="L55" s="756"/>
      <c r="M55" s="756"/>
      <c r="N55" s="756"/>
      <c r="O55" s="756"/>
      <c r="P55" s="756"/>
      <c r="Q55" s="756"/>
      <c r="R55" s="756"/>
      <c r="S55" s="756"/>
      <c r="T55" s="756"/>
      <c r="U55" s="756"/>
      <c r="V55" s="756"/>
      <c r="W55" s="756"/>
      <c r="X55" s="756"/>
      <c r="Y55" s="756"/>
      <c r="Z55" s="756"/>
      <c r="AA55" s="756"/>
      <c r="AB55" s="756"/>
      <c r="AC55" s="756"/>
      <c r="AD55" s="756"/>
      <c r="AE55" s="756"/>
      <c r="AF55" s="756"/>
      <c r="AG55" s="756"/>
      <c r="AH55" s="756"/>
      <c r="AI55" s="756"/>
      <c r="AJ55" s="756"/>
      <c r="AK55" s="756"/>
      <c r="AL55" s="756"/>
      <c r="AM55" s="756"/>
      <c r="AN55" s="756"/>
      <c r="AO55" s="756"/>
      <c r="AP55" s="756"/>
      <c r="AQ55" s="756"/>
      <c r="AR55" s="756"/>
      <c r="AS55" s="756"/>
      <c r="AT55" s="756"/>
      <c r="AU55" s="756"/>
      <c r="AV55" s="756"/>
      <c r="AW55" s="756"/>
      <c r="AX55" s="756"/>
      <c r="AY55" s="756"/>
      <c r="AZ55" s="756"/>
      <c r="BA55" s="756"/>
      <c r="BB55" s="756"/>
      <c r="BC55" s="756"/>
      <c r="BD55" s="757"/>
      <c r="DE55" s="598">
        <v>818</v>
      </c>
      <c r="DF55" s="598" t="s">
        <v>381</v>
      </c>
      <c r="DG55" s="598">
        <v>51070</v>
      </c>
      <c r="DH55" s="598">
        <v>1800</v>
      </c>
      <c r="DI55" s="598">
        <v>84000</v>
      </c>
      <c r="DJ55" s="598">
        <v>58300</v>
      </c>
    </row>
    <row r="56" spans="3:114" ht="18" customHeight="1">
      <c r="C56" s="542"/>
      <c r="D56" s="755"/>
      <c r="E56" s="756"/>
      <c r="F56" s="756"/>
      <c r="G56" s="756"/>
      <c r="H56" s="756"/>
      <c r="I56" s="756"/>
      <c r="J56" s="756"/>
      <c r="K56" s="756"/>
      <c r="L56" s="756"/>
      <c r="M56" s="756"/>
      <c r="N56" s="756"/>
      <c r="O56" s="756"/>
      <c r="P56" s="756"/>
      <c r="Q56" s="756"/>
      <c r="R56" s="756"/>
      <c r="S56" s="756"/>
      <c r="T56" s="756"/>
      <c r="U56" s="756"/>
      <c r="V56" s="756"/>
      <c r="W56" s="756"/>
      <c r="X56" s="756"/>
      <c r="Y56" s="756"/>
      <c r="Z56" s="756"/>
      <c r="AA56" s="756"/>
      <c r="AB56" s="756"/>
      <c r="AC56" s="756"/>
      <c r="AD56" s="756"/>
      <c r="AE56" s="756"/>
      <c r="AF56" s="756"/>
      <c r="AG56" s="756"/>
      <c r="AH56" s="756"/>
      <c r="AI56" s="756"/>
      <c r="AJ56" s="756"/>
      <c r="AK56" s="756"/>
      <c r="AL56" s="756"/>
      <c r="AM56" s="756"/>
      <c r="AN56" s="756"/>
      <c r="AO56" s="756"/>
      <c r="AP56" s="756"/>
      <c r="AQ56" s="756"/>
      <c r="AR56" s="756"/>
      <c r="AS56" s="756"/>
      <c r="AT56" s="756"/>
      <c r="AU56" s="756"/>
      <c r="AV56" s="756"/>
      <c r="AW56" s="756"/>
      <c r="AX56" s="756"/>
      <c r="AY56" s="756"/>
      <c r="AZ56" s="756"/>
      <c r="BA56" s="756"/>
      <c r="BB56" s="756"/>
      <c r="BC56" s="756"/>
      <c r="BD56" s="757"/>
      <c r="DE56" s="598">
        <v>222</v>
      </c>
      <c r="DF56" s="598" t="s">
        <v>382</v>
      </c>
      <c r="DG56" s="598">
        <v>37540</v>
      </c>
      <c r="DH56" s="598">
        <v>15630</v>
      </c>
      <c r="DI56" s="598">
        <v>10640</v>
      </c>
      <c r="DJ56" s="598">
        <v>26270</v>
      </c>
    </row>
    <row r="57" spans="3:114" ht="20.25" customHeight="1">
      <c r="C57" s="543"/>
      <c r="D57" s="760"/>
      <c r="E57" s="761"/>
      <c r="F57" s="761"/>
      <c r="G57" s="761"/>
      <c r="H57" s="761"/>
      <c r="I57" s="761"/>
      <c r="J57" s="761"/>
      <c r="K57" s="761"/>
      <c r="L57" s="761"/>
      <c r="M57" s="761"/>
      <c r="N57" s="761"/>
      <c r="O57" s="761"/>
      <c r="P57" s="761"/>
      <c r="Q57" s="761"/>
      <c r="R57" s="761"/>
      <c r="S57" s="761"/>
      <c r="T57" s="761"/>
      <c r="U57" s="761"/>
      <c r="V57" s="761"/>
      <c r="W57" s="761"/>
      <c r="X57" s="761"/>
      <c r="Y57" s="761"/>
      <c r="Z57" s="761"/>
      <c r="AA57" s="761"/>
      <c r="AB57" s="761"/>
      <c r="AC57" s="761"/>
      <c r="AD57" s="761"/>
      <c r="AE57" s="761"/>
      <c r="AF57" s="761"/>
      <c r="AG57" s="761"/>
      <c r="AH57" s="761"/>
      <c r="AI57" s="761"/>
      <c r="AJ57" s="761"/>
      <c r="AK57" s="761"/>
      <c r="AL57" s="761"/>
      <c r="AM57" s="761"/>
      <c r="AN57" s="761"/>
      <c r="AO57" s="761"/>
      <c r="AP57" s="761"/>
      <c r="AQ57" s="761"/>
      <c r="AR57" s="761"/>
      <c r="AS57" s="761"/>
      <c r="AT57" s="761"/>
      <c r="AU57" s="761"/>
      <c r="AV57" s="761"/>
      <c r="AW57" s="761"/>
      <c r="AX57" s="761"/>
      <c r="AY57" s="761"/>
      <c r="AZ57" s="761"/>
      <c r="BA57" s="761"/>
      <c r="BB57" s="761"/>
      <c r="BC57" s="761"/>
      <c r="BD57" s="762"/>
      <c r="DE57" s="598">
        <v>226</v>
      </c>
      <c r="DF57" s="598" t="s">
        <v>383</v>
      </c>
      <c r="DG57" s="598">
        <v>60480</v>
      </c>
      <c r="DH57" s="598">
        <v>26000</v>
      </c>
      <c r="DI57" s="598">
        <v>0</v>
      </c>
      <c r="DJ57" s="598">
        <v>26000</v>
      </c>
    </row>
    <row r="58" spans="3:114" ht="16.5" customHeight="1">
      <c r="C58" s="758"/>
      <c r="D58" s="759"/>
      <c r="E58" s="759"/>
      <c r="F58" s="759"/>
      <c r="G58" s="759"/>
      <c r="H58" s="759"/>
      <c r="I58" s="759"/>
      <c r="J58" s="759"/>
      <c r="K58" s="759"/>
      <c r="L58" s="759"/>
      <c r="M58" s="759"/>
      <c r="N58" s="759"/>
      <c r="O58" s="759"/>
      <c r="P58" s="759"/>
      <c r="Q58" s="759"/>
      <c r="R58" s="759"/>
      <c r="S58" s="759"/>
      <c r="T58" s="759"/>
      <c r="U58" s="759"/>
      <c r="V58" s="759"/>
      <c r="W58" s="759"/>
      <c r="X58" s="759"/>
      <c r="Y58" s="759"/>
      <c r="Z58" s="759"/>
      <c r="AA58" s="759"/>
      <c r="AB58" s="759"/>
      <c r="AC58" s="759"/>
      <c r="AD58" s="759"/>
      <c r="AE58" s="759"/>
      <c r="AF58" s="759"/>
      <c r="AG58" s="759"/>
      <c r="AH58" s="759"/>
      <c r="AI58" s="759"/>
      <c r="AJ58" s="759"/>
      <c r="AK58" s="759"/>
      <c r="AL58" s="759"/>
      <c r="AM58" s="759"/>
      <c r="AN58" s="759"/>
      <c r="AO58" s="759"/>
      <c r="AP58" s="319"/>
      <c r="AQ58" s="319"/>
      <c r="AR58" s="319"/>
      <c r="AS58" s="319"/>
      <c r="DE58" s="598">
        <v>232</v>
      </c>
      <c r="DF58" s="598" t="s">
        <v>384</v>
      </c>
      <c r="DG58" s="598">
        <v>45160</v>
      </c>
      <c r="DH58" s="598">
        <v>2800</v>
      </c>
      <c r="DI58" s="598">
        <v>700</v>
      </c>
      <c r="DJ58" s="598">
        <v>7315</v>
      </c>
    </row>
    <row r="59" spans="3:114" ht="12.75">
      <c r="C59" s="759"/>
      <c r="D59" s="759"/>
      <c r="E59" s="759"/>
      <c r="F59" s="759"/>
      <c r="G59" s="759"/>
      <c r="H59" s="759"/>
      <c r="I59" s="759"/>
      <c r="J59" s="759"/>
      <c r="K59" s="759"/>
      <c r="L59" s="759"/>
      <c r="M59" s="759"/>
      <c r="N59" s="759"/>
      <c r="O59" s="759"/>
      <c r="P59" s="759"/>
      <c r="Q59" s="759"/>
      <c r="R59" s="759"/>
      <c r="S59" s="759"/>
      <c r="T59" s="759"/>
      <c r="U59" s="759"/>
      <c r="V59" s="759"/>
      <c r="W59" s="759"/>
      <c r="X59" s="759"/>
      <c r="Y59" s="759"/>
      <c r="Z59" s="759"/>
      <c r="AA59" s="759"/>
      <c r="AB59" s="759"/>
      <c r="AC59" s="759"/>
      <c r="AD59" s="759"/>
      <c r="AE59" s="759"/>
      <c r="AF59" s="759"/>
      <c r="AG59" s="759"/>
      <c r="AH59" s="759"/>
      <c r="AI59" s="759"/>
      <c r="AJ59" s="759"/>
      <c r="AK59" s="759"/>
      <c r="AL59" s="759"/>
      <c r="AM59" s="759"/>
      <c r="AN59" s="759"/>
      <c r="AO59" s="759"/>
      <c r="AP59" s="319"/>
      <c r="AQ59" s="319"/>
      <c r="AR59" s="319"/>
      <c r="AS59" s="319"/>
      <c r="DE59" s="598">
        <v>231</v>
      </c>
      <c r="DF59" s="598" t="s">
        <v>385</v>
      </c>
      <c r="DG59" s="598">
        <v>936400</v>
      </c>
      <c r="DH59" s="598">
        <v>122000</v>
      </c>
      <c r="DI59" s="598">
        <v>0</v>
      </c>
      <c r="DJ59" s="598">
        <v>122000</v>
      </c>
    </row>
    <row r="60" spans="109:114" ht="12.75">
      <c r="DE60" s="598">
        <v>234</v>
      </c>
      <c r="DF60" s="598" t="s">
        <v>523</v>
      </c>
      <c r="DG60" s="598"/>
      <c r="DH60" s="598"/>
      <c r="DI60" s="598">
        <v>0</v>
      </c>
      <c r="DJ60" s="598"/>
    </row>
    <row r="61" spans="109:114" ht="12.75">
      <c r="DE61" s="598">
        <v>242</v>
      </c>
      <c r="DF61" s="598" t="s">
        <v>386</v>
      </c>
      <c r="DG61" s="598">
        <v>47360</v>
      </c>
      <c r="DH61" s="598">
        <v>28550</v>
      </c>
      <c r="DI61" s="598">
        <v>0</v>
      </c>
      <c r="DJ61" s="598">
        <v>28550</v>
      </c>
    </row>
    <row r="62" spans="109:114" ht="12.75">
      <c r="DE62" s="598">
        <v>254</v>
      </c>
      <c r="DF62" s="598" t="s">
        <v>387</v>
      </c>
      <c r="DG62" s="598"/>
      <c r="DH62" s="598"/>
      <c r="DI62" s="598"/>
      <c r="DJ62" s="598"/>
    </row>
    <row r="63" spans="109:114" ht="12.75">
      <c r="DE63" s="598">
        <v>266</v>
      </c>
      <c r="DF63" s="598" t="s">
        <v>388</v>
      </c>
      <c r="DG63" s="598">
        <v>490100</v>
      </c>
      <c r="DH63" s="598">
        <v>164000</v>
      </c>
      <c r="DI63" s="598">
        <v>2000</v>
      </c>
      <c r="DJ63" s="598">
        <v>166000</v>
      </c>
    </row>
    <row r="64" spans="109:114" ht="12.75">
      <c r="DE64" s="598">
        <v>270</v>
      </c>
      <c r="DF64" s="598" t="s">
        <v>389</v>
      </c>
      <c r="DG64" s="598">
        <v>9447</v>
      </c>
      <c r="DH64" s="598">
        <v>3000</v>
      </c>
      <c r="DI64" s="598">
        <v>5000</v>
      </c>
      <c r="DJ64" s="598">
        <v>8000</v>
      </c>
    </row>
    <row r="65" spans="109:114" ht="12.75">
      <c r="DE65" s="598">
        <v>268</v>
      </c>
      <c r="DF65" s="598" t="s">
        <v>390</v>
      </c>
      <c r="DG65" s="598">
        <v>71510</v>
      </c>
      <c r="DH65" s="598">
        <v>58130</v>
      </c>
      <c r="DI65" s="598">
        <v>8350</v>
      </c>
      <c r="DJ65" s="598">
        <v>63330</v>
      </c>
    </row>
    <row r="66" spans="109:114" ht="12.75">
      <c r="DE66" s="598">
        <v>288</v>
      </c>
      <c r="DF66" s="598" t="s">
        <v>391</v>
      </c>
      <c r="DG66" s="598">
        <v>283100</v>
      </c>
      <c r="DH66" s="598">
        <v>30300</v>
      </c>
      <c r="DI66" s="598">
        <v>25900</v>
      </c>
      <c r="DJ66" s="598">
        <v>56200</v>
      </c>
    </row>
    <row r="67" spans="109:114" ht="12.75">
      <c r="DE67" s="598">
        <v>304</v>
      </c>
      <c r="DF67" s="598" t="s">
        <v>392</v>
      </c>
      <c r="DG67" s="598"/>
      <c r="DH67" s="598"/>
      <c r="DI67" s="598"/>
      <c r="DJ67" s="598"/>
    </row>
    <row r="68" spans="109:114" ht="12.75">
      <c r="DE68" s="598">
        <v>308</v>
      </c>
      <c r="DF68" s="598" t="s">
        <v>393</v>
      </c>
      <c r="DG68" s="598">
        <v>799</v>
      </c>
      <c r="DH68" s="598">
        <v>200</v>
      </c>
      <c r="DI68" s="598">
        <v>0</v>
      </c>
      <c r="DJ68" s="598">
        <v>200</v>
      </c>
    </row>
    <row r="69" spans="109:114" ht="12.75">
      <c r="DE69" s="598">
        <v>312</v>
      </c>
      <c r="DF69" s="598" t="s">
        <v>394</v>
      </c>
      <c r="DG69" s="598"/>
      <c r="DH69" s="598"/>
      <c r="DI69" s="598"/>
      <c r="DJ69" s="598"/>
    </row>
    <row r="70" spans="109:114" ht="12.75">
      <c r="DE70" s="598">
        <v>320</v>
      </c>
      <c r="DF70" s="598" t="s">
        <v>395</v>
      </c>
      <c r="DG70" s="598">
        <v>217300</v>
      </c>
      <c r="DH70" s="598">
        <v>109200</v>
      </c>
      <c r="DI70" s="598">
        <v>18710</v>
      </c>
      <c r="DJ70" s="598">
        <v>127900</v>
      </c>
    </row>
    <row r="71" spans="109:114" ht="12.75">
      <c r="DE71" s="598">
        <v>324</v>
      </c>
      <c r="DF71" s="598" t="s">
        <v>396</v>
      </c>
      <c r="DG71" s="598">
        <v>405900</v>
      </c>
      <c r="DH71" s="598">
        <v>226000</v>
      </c>
      <c r="DI71" s="598">
        <v>0</v>
      </c>
      <c r="DJ71" s="598">
        <v>226000</v>
      </c>
    </row>
    <row r="72" spans="109:114" ht="12.75">
      <c r="DE72" s="598">
        <v>624</v>
      </c>
      <c r="DF72" s="598" t="s">
        <v>397</v>
      </c>
      <c r="DG72" s="598">
        <v>56980</v>
      </c>
      <c r="DH72" s="598">
        <v>16000</v>
      </c>
      <c r="DI72" s="598">
        <v>15400</v>
      </c>
      <c r="DJ72" s="598">
        <v>31400</v>
      </c>
    </row>
    <row r="73" spans="109:114" ht="12.75">
      <c r="DE73" s="598">
        <v>328</v>
      </c>
      <c r="DF73" s="598" t="s">
        <v>402</v>
      </c>
      <c r="DG73" s="598">
        <v>513100</v>
      </c>
      <c r="DH73" s="598">
        <v>241000</v>
      </c>
      <c r="DI73" s="598">
        <v>30000</v>
      </c>
      <c r="DJ73" s="598">
        <v>271000</v>
      </c>
    </row>
    <row r="74" spans="109:114" ht="12.75">
      <c r="DE74" s="598">
        <v>332</v>
      </c>
      <c r="DF74" s="598" t="s">
        <v>403</v>
      </c>
      <c r="DG74" s="598">
        <v>39960</v>
      </c>
      <c r="DH74" s="598">
        <v>13010</v>
      </c>
      <c r="DI74" s="598">
        <v>1014.9999999999999</v>
      </c>
      <c r="DJ74" s="598">
        <v>14030</v>
      </c>
    </row>
    <row r="75" spans="109:114" ht="12.75">
      <c r="DE75" s="598">
        <v>336</v>
      </c>
      <c r="DF75" s="598" t="s">
        <v>524</v>
      </c>
      <c r="DG75" s="598"/>
      <c r="DH75" s="598"/>
      <c r="DI75" s="598"/>
      <c r="DJ75" s="598"/>
    </row>
    <row r="76" spans="109:114" ht="12.75">
      <c r="DE76" s="598">
        <v>340</v>
      </c>
      <c r="DF76" s="598" t="s">
        <v>404</v>
      </c>
      <c r="DG76" s="598">
        <v>222300</v>
      </c>
      <c r="DH76" s="598">
        <v>90660</v>
      </c>
      <c r="DI76" s="598">
        <v>1504</v>
      </c>
      <c r="DJ76" s="598">
        <v>92160</v>
      </c>
    </row>
    <row r="77" spans="109:114" ht="12.75">
      <c r="DE77" s="598">
        <v>356</v>
      </c>
      <c r="DF77" s="598" t="s">
        <v>405</v>
      </c>
      <c r="DG77" s="598">
        <v>3560000</v>
      </c>
      <c r="DH77" s="598">
        <v>1446000</v>
      </c>
      <c r="DI77" s="598">
        <v>635200</v>
      </c>
      <c r="DJ77" s="598">
        <v>1911000</v>
      </c>
    </row>
    <row r="78" spans="109:114" ht="12.75">
      <c r="DE78" s="598">
        <v>360</v>
      </c>
      <c r="DF78" s="598" t="s">
        <v>406</v>
      </c>
      <c r="DG78" s="598">
        <v>5163000</v>
      </c>
      <c r="DH78" s="598">
        <v>2019000</v>
      </c>
      <c r="DI78" s="598">
        <v>0</v>
      </c>
      <c r="DJ78" s="598">
        <v>2019000</v>
      </c>
    </row>
    <row r="79" spans="109:114" ht="12.75">
      <c r="DE79" s="598">
        <v>364</v>
      </c>
      <c r="DF79" s="598" t="s">
        <v>407</v>
      </c>
      <c r="DG79" s="598">
        <v>397900</v>
      </c>
      <c r="DH79" s="598">
        <v>128500</v>
      </c>
      <c r="DI79" s="598">
        <v>7770</v>
      </c>
      <c r="DJ79" s="598">
        <v>137000</v>
      </c>
    </row>
    <row r="80" spans="109:114" ht="12.75">
      <c r="DE80" s="598">
        <v>368</v>
      </c>
      <c r="DF80" s="598" t="s">
        <v>408</v>
      </c>
      <c r="DG80" s="598">
        <v>93970</v>
      </c>
      <c r="DH80" s="598">
        <v>35200</v>
      </c>
      <c r="DI80" s="598">
        <v>61330</v>
      </c>
      <c r="DJ80" s="598">
        <v>89860</v>
      </c>
    </row>
    <row r="81" spans="109:114" ht="12.75">
      <c r="DE81" s="598">
        <v>376</v>
      </c>
      <c r="DF81" s="598" t="s">
        <v>409</v>
      </c>
      <c r="DG81" s="598">
        <v>9600</v>
      </c>
      <c r="DH81" s="598">
        <v>750</v>
      </c>
      <c r="DI81" s="598">
        <v>305</v>
      </c>
      <c r="DJ81" s="598">
        <v>1780</v>
      </c>
    </row>
    <row r="82" spans="109:114" ht="12.75">
      <c r="DE82" s="598">
        <v>388</v>
      </c>
      <c r="DF82" s="598" t="s">
        <v>410</v>
      </c>
      <c r="DG82" s="598">
        <v>22540</v>
      </c>
      <c r="DH82" s="598">
        <v>10820</v>
      </c>
      <c r="DI82" s="598">
        <v>0</v>
      </c>
      <c r="DJ82" s="598">
        <v>10820</v>
      </c>
    </row>
    <row r="83" spans="109:114" ht="12.75">
      <c r="DE83" s="598">
        <v>400</v>
      </c>
      <c r="DF83" s="598" t="s">
        <v>411</v>
      </c>
      <c r="DG83" s="598">
        <v>9915</v>
      </c>
      <c r="DH83" s="598">
        <v>682</v>
      </c>
      <c r="DI83" s="598">
        <v>400</v>
      </c>
      <c r="DJ83" s="598">
        <v>937</v>
      </c>
    </row>
    <row r="84" spans="109:114" ht="12.75">
      <c r="DE84" s="598">
        <v>398</v>
      </c>
      <c r="DF84" s="598" t="s">
        <v>412</v>
      </c>
      <c r="DG84" s="598">
        <v>681200</v>
      </c>
      <c r="DH84" s="598">
        <v>64349.99999999999</v>
      </c>
      <c r="DI84" s="598">
        <v>72040</v>
      </c>
      <c r="DJ84" s="598">
        <v>108400</v>
      </c>
    </row>
    <row r="85" spans="109:114" ht="12.75">
      <c r="DE85" s="598">
        <v>404</v>
      </c>
      <c r="DF85" s="598" t="s">
        <v>413</v>
      </c>
      <c r="DG85" s="598">
        <v>365600</v>
      </c>
      <c r="DH85" s="598">
        <v>20700</v>
      </c>
      <c r="DI85" s="598">
        <v>10000</v>
      </c>
      <c r="DJ85" s="598">
        <v>30700</v>
      </c>
    </row>
    <row r="86" spans="109:114" ht="12.75">
      <c r="DE86" s="598">
        <v>296</v>
      </c>
      <c r="DF86" s="598" t="s">
        <v>157</v>
      </c>
      <c r="DG86" s="598"/>
      <c r="DH86" s="598"/>
      <c r="DI86" s="598">
        <v>0</v>
      </c>
      <c r="DJ86" s="598"/>
    </row>
    <row r="87" spans="109:114" ht="12.75">
      <c r="DE87" s="598">
        <v>414</v>
      </c>
      <c r="DF87" s="598" t="s">
        <v>414</v>
      </c>
      <c r="DG87" s="598">
        <v>2156</v>
      </c>
      <c r="DH87" s="598">
        <v>0</v>
      </c>
      <c r="DI87" s="598">
        <v>0</v>
      </c>
      <c r="DJ87" s="598">
        <v>20</v>
      </c>
    </row>
    <row r="88" spans="109:114" ht="12.75">
      <c r="DE88" s="598">
        <v>417</v>
      </c>
      <c r="DF88" s="598" t="s">
        <v>415</v>
      </c>
      <c r="DG88" s="598">
        <v>106600</v>
      </c>
      <c r="DH88" s="598">
        <v>48930</v>
      </c>
      <c r="DI88" s="598">
        <v>558</v>
      </c>
      <c r="DJ88" s="598">
        <v>23620</v>
      </c>
    </row>
    <row r="89" spans="109:114" ht="12.75">
      <c r="DE89" s="598">
        <v>418</v>
      </c>
      <c r="DF89" s="598" t="s">
        <v>158</v>
      </c>
      <c r="DG89" s="598">
        <v>434300</v>
      </c>
      <c r="DH89" s="598">
        <v>190400</v>
      </c>
      <c r="DI89" s="598">
        <v>143100</v>
      </c>
      <c r="DJ89" s="598">
        <v>333500</v>
      </c>
    </row>
    <row r="90" spans="109:114" ht="12.75">
      <c r="DE90" s="598">
        <v>428</v>
      </c>
      <c r="DF90" s="598" t="s">
        <v>416</v>
      </c>
      <c r="DG90" s="598">
        <v>43010</v>
      </c>
      <c r="DH90" s="598">
        <v>16940</v>
      </c>
      <c r="DI90" s="598">
        <v>18000</v>
      </c>
      <c r="DJ90" s="598">
        <v>34940</v>
      </c>
    </row>
    <row r="91" spans="109:114" ht="12.75">
      <c r="DE91" s="598">
        <v>422</v>
      </c>
      <c r="DF91" s="598" t="s">
        <v>417</v>
      </c>
      <c r="DG91" s="598">
        <v>6907</v>
      </c>
      <c r="DH91" s="598">
        <v>4800</v>
      </c>
      <c r="DI91" s="598">
        <v>0</v>
      </c>
      <c r="DJ91" s="598">
        <v>4503</v>
      </c>
    </row>
    <row r="92" spans="109:114" ht="12.75">
      <c r="DE92" s="598">
        <v>426</v>
      </c>
      <c r="DF92" s="598" t="s">
        <v>418</v>
      </c>
      <c r="DG92" s="598">
        <v>23920</v>
      </c>
      <c r="DH92" s="598">
        <v>5230</v>
      </c>
      <c r="DI92" s="598">
        <v>0</v>
      </c>
      <c r="DJ92" s="598">
        <v>3022</v>
      </c>
    </row>
    <row r="93" spans="109:114" ht="12.75">
      <c r="DE93" s="598">
        <v>430</v>
      </c>
      <c r="DF93" s="598" t="s">
        <v>419</v>
      </c>
      <c r="DG93" s="598">
        <v>266300</v>
      </c>
      <c r="DH93" s="598">
        <v>200000</v>
      </c>
      <c r="DI93" s="598">
        <v>32000</v>
      </c>
      <c r="DJ93" s="598">
        <v>232000</v>
      </c>
    </row>
    <row r="94" spans="109:114" ht="12.75">
      <c r="DE94" s="598">
        <v>434</v>
      </c>
      <c r="DF94" s="598" t="s">
        <v>159</v>
      </c>
      <c r="DG94" s="598">
        <v>98530</v>
      </c>
      <c r="DH94" s="598">
        <v>700</v>
      </c>
      <c r="DI94" s="598">
        <v>0</v>
      </c>
      <c r="DJ94" s="598">
        <v>700</v>
      </c>
    </row>
    <row r="95" spans="109:114" ht="12.75">
      <c r="DE95" s="598">
        <v>438</v>
      </c>
      <c r="DF95" s="598" t="s">
        <v>160</v>
      </c>
      <c r="DG95" s="598"/>
      <c r="DH95" s="598"/>
      <c r="DI95" s="598"/>
      <c r="DJ95" s="598"/>
    </row>
    <row r="96" spans="109:114" ht="12.75">
      <c r="DE96" s="598">
        <v>440</v>
      </c>
      <c r="DF96" s="598" t="s">
        <v>420</v>
      </c>
      <c r="DG96" s="598">
        <v>42830</v>
      </c>
      <c r="DH96" s="598">
        <v>15460</v>
      </c>
      <c r="DI96" s="598">
        <v>9040</v>
      </c>
      <c r="DJ96" s="598">
        <v>24500</v>
      </c>
    </row>
    <row r="97" spans="109:114" ht="12.75">
      <c r="DE97" s="598">
        <v>450</v>
      </c>
      <c r="DF97" s="598" t="s">
        <v>421</v>
      </c>
      <c r="DG97" s="598">
        <v>888600</v>
      </c>
      <c r="DH97" s="598">
        <v>337000</v>
      </c>
      <c r="DI97" s="598">
        <v>0</v>
      </c>
      <c r="DJ97" s="598">
        <v>337000</v>
      </c>
    </row>
    <row r="98" spans="109:114" ht="12.75">
      <c r="DE98" s="598">
        <v>454</v>
      </c>
      <c r="DF98" s="598" t="s">
        <v>422</v>
      </c>
      <c r="DG98" s="598">
        <v>139900</v>
      </c>
      <c r="DH98" s="598">
        <v>16140</v>
      </c>
      <c r="DI98" s="598">
        <v>1000</v>
      </c>
      <c r="DJ98" s="598">
        <v>17280</v>
      </c>
    </row>
    <row r="99" spans="109:114" ht="12.75">
      <c r="DE99" s="598">
        <v>458</v>
      </c>
      <c r="DF99" s="598" t="s">
        <v>423</v>
      </c>
      <c r="DG99" s="598">
        <v>951000</v>
      </c>
      <c r="DH99" s="598">
        <v>580000</v>
      </c>
      <c r="DI99" s="598">
        <v>0</v>
      </c>
      <c r="DJ99" s="598">
        <v>580000</v>
      </c>
    </row>
    <row r="100" spans="109:114" ht="12.75">
      <c r="DE100" s="598">
        <v>462</v>
      </c>
      <c r="DF100" s="598" t="s">
        <v>424</v>
      </c>
      <c r="DG100" s="598">
        <v>591.6</v>
      </c>
      <c r="DH100" s="598">
        <v>30</v>
      </c>
      <c r="DI100" s="598">
        <v>0</v>
      </c>
      <c r="DJ100" s="598">
        <v>30</v>
      </c>
    </row>
    <row r="101" spans="109:114" ht="12.75">
      <c r="DE101" s="598">
        <v>466</v>
      </c>
      <c r="DF101" s="598" t="s">
        <v>425</v>
      </c>
      <c r="DG101" s="598">
        <v>349700</v>
      </c>
      <c r="DH101" s="598">
        <v>60000</v>
      </c>
      <c r="DI101" s="598">
        <v>60000</v>
      </c>
      <c r="DJ101" s="598">
        <v>120000</v>
      </c>
    </row>
    <row r="102" spans="109:114" ht="12.75">
      <c r="DE102" s="598">
        <v>470</v>
      </c>
      <c r="DF102" s="598" t="s">
        <v>426</v>
      </c>
      <c r="DG102" s="598">
        <v>179.2</v>
      </c>
      <c r="DH102" s="598">
        <v>50.5</v>
      </c>
      <c r="DI102" s="598">
        <v>0</v>
      </c>
      <c r="DJ102" s="598">
        <v>50.5</v>
      </c>
    </row>
    <row r="103" spans="109:114" ht="12.75">
      <c r="DE103" s="598">
        <v>584</v>
      </c>
      <c r="DF103" s="598" t="s">
        <v>161</v>
      </c>
      <c r="DG103" s="598"/>
      <c r="DH103" s="598"/>
      <c r="DI103" s="598">
        <v>0</v>
      </c>
      <c r="DJ103" s="598"/>
    </row>
    <row r="104" spans="109:114" ht="12.75">
      <c r="DE104" s="598">
        <v>474</v>
      </c>
      <c r="DF104" s="598" t="s">
        <v>427</v>
      </c>
      <c r="DG104" s="598"/>
      <c r="DH104" s="598"/>
      <c r="DI104" s="598"/>
      <c r="DJ104" s="598"/>
    </row>
    <row r="105" spans="109:114" ht="12.75">
      <c r="DE105" s="598">
        <v>478</v>
      </c>
      <c r="DF105" s="598" t="s">
        <v>428</v>
      </c>
      <c r="DG105" s="598">
        <v>94820</v>
      </c>
      <c r="DH105" s="598">
        <v>400</v>
      </c>
      <c r="DI105" s="598">
        <v>0</v>
      </c>
      <c r="DJ105" s="598">
        <v>11400</v>
      </c>
    </row>
    <row r="106" spans="109:114" ht="12.75">
      <c r="DE106" s="598">
        <v>480</v>
      </c>
      <c r="DF106" s="598" t="s">
        <v>429</v>
      </c>
      <c r="DG106" s="598">
        <v>4164</v>
      </c>
      <c r="DH106" s="598">
        <v>2751</v>
      </c>
      <c r="DI106" s="598">
        <v>0</v>
      </c>
      <c r="DJ106" s="598">
        <v>2751</v>
      </c>
    </row>
    <row r="107" spans="109:114" ht="12.75">
      <c r="DE107" s="598">
        <v>583</v>
      </c>
      <c r="DF107" s="598" t="s">
        <v>162</v>
      </c>
      <c r="DG107" s="598"/>
      <c r="DH107" s="598"/>
      <c r="DI107" s="598">
        <v>0</v>
      </c>
      <c r="DJ107" s="598"/>
    </row>
    <row r="108" spans="109:114" ht="12.75">
      <c r="DE108" s="598">
        <v>492</v>
      </c>
      <c r="DF108" s="598" t="s">
        <v>163</v>
      </c>
      <c r="DG108" s="598"/>
      <c r="DH108" s="598"/>
      <c r="DI108" s="598"/>
      <c r="DJ108" s="598"/>
    </row>
    <row r="109" spans="109:114" ht="12.75">
      <c r="DE109" s="598">
        <v>496</v>
      </c>
      <c r="DF109" s="598" t="s">
        <v>430</v>
      </c>
      <c r="DG109" s="598">
        <v>377000</v>
      </c>
      <c r="DH109" s="598">
        <v>34800</v>
      </c>
      <c r="DI109" s="598">
        <v>0</v>
      </c>
      <c r="DJ109" s="598">
        <v>34800</v>
      </c>
    </row>
    <row r="110" spans="109:114" ht="12.75">
      <c r="DE110" s="598">
        <v>499</v>
      </c>
      <c r="DF110" s="598" t="s">
        <v>164</v>
      </c>
      <c r="DG110" s="598"/>
      <c r="DH110" s="598"/>
      <c r="DI110" s="598"/>
      <c r="DJ110" s="598"/>
    </row>
    <row r="111" spans="109:114" ht="12.75">
      <c r="DE111" s="598">
        <v>504</v>
      </c>
      <c r="DF111" s="598" t="s">
        <v>431</v>
      </c>
      <c r="DG111" s="598">
        <v>154500</v>
      </c>
      <c r="DH111" s="598">
        <v>29000</v>
      </c>
      <c r="DI111" s="598">
        <v>0</v>
      </c>
      <c r="DJ111" s="598">
        <v>29000</v>
      </c>
    </row>
    <row r="112" spans="109:114" ht="12.75">
      <c r="DE112" s="598">
        <v>508</v>
      </c>
      <c r="DF112" s="598" t="s">
        <v>432</v>
      </c>
      <c r="DG112" s="598">
        <v>825000</v>
      </c>
      <c r="DH112" s="598">
        <v>100300</v>
      </c>
      <c r="DI112" s="598">
        <v>116800</v>
      </c>
      <c r="DJ112" s="598">
        <v>217100</v>
      </c>
    </row>
    <row r="113" spans="109:114" ht="12.75">
      <c r="DE113" s="598">
        <v>104</v>
      </c>
      <c r="DF113" s="598" t="s">
        <v>433</v>
      </c>
      <c r="DG113" s="598">
        <v>1415000</v>
      </c>
      <c r="DH113" s="598">
        <v>1003000</v>
      </c>
      <c r="DI113" s="598">
        <v>128199.99999999999</v>
      </c>
      <c r="DJ113" s="598">
        <v>1168000</v>
      </c>
    </row>
    <row r="114" spans="109:114" ht="12.75">
      <c r="DE114" s="598">
        <v>516</v>
      </c>
      <c r="DF114" s="598" t="s">
        <v>434</v>
      </c>
      <c r="DG114" s="598">
        <v>234900</v>
      </c>
      <c r="DH114" s="598">
        <v>6160</v>
      </c>
      <c r="DI114" s="598">
        <v>11000</v>
      </c>
      <c r="DJ114" s="598">
        <v>39910</v>
      </c>
    </row>
    <row r="115" spans="109:114" ht="12.75">
      <c r="DE115" s="598">
        <v>520</v>
      </c>
      <c r="DF115" s="598" t="s">
        <v>165</v>
      </c>
      <c r="DG115" s="598"/>
      <c r="DH115" s="598"/>
      <c r="DI115" s="598">
        <v>0</v>
      </c>
      <c r="DJ115" s="598"/>
    </row>
    <row r="116" spans="109:114" ht="12.75">
      <c r="DE116" s="598">
        <v>524</v>
      </c>
      <c r="DF116" s="598" t="s">
        <v>435</v>
      </c>
      <c r="DG116" s="598">
        <v>220800</v>
      </c>
      <c r="DH116" s="598">
        <v>198200</v>
      </c>
      <c r="DI116" s="598">
        <v>12000</v>
      </c>
      <c r="DJ116" s="598">
        <v>210200</v>
      </c>
    </row>
    <row r="117" spans="109:114" ht="12.75">
      <c r="DE117" s="598">
        <v>540</v>
      </c>
      <c r="DF117" s="598" t="s">
        <v>436</v>
      </c>
      <c r="DG117" s="598"/>
      <c r="DH117" s="598"/>
      <c r="DI117" s="598"/>
      <c r="DJ117" s="598"/>
    </row>
    <row r="118" spans="109:114" ht="12.75">
      <c r="DE118" s="598">
        <v>558</v>
      </c>
      <c r="DF118" s="598" t="s">
        <v>437</v>
      </c>
      <c r="DG118" s="598">
        <v>297200</v>
      </c>
      <c r="DH118" s="598">
        <v>156200</v>
      </c>
      <c r="DI118" s="598">
        <v>8310</v>
      </c>
      <c r="DJ118" s="598">
        <v>164500</v>
      </c>
    </row>
    <row r="119" spans="109:114" ht="12.75">
      <c r="DE119" s="598">
        <v>562</v>
      </c>
      <c r="DF119" s="598" t="s">
        <v>438</v>
      </c>
      <c r="DG119" s="598">
        <v>191300</v>
      </c>
      <c r="DH119" s="598">
        <v>3500</v>
      </c>
      <c r="DI119" s="598">
        <v>29200</v>
      </c>
      <c r="DJ119" s="598">
        <v>34050</v>
      </c>
    </row>
    <row r="120" spans="109:114" ht="12.75">
      <c r="DE120" s="598">
        <v>566</v>
      </c>
      <c r="DF120" s="598" t="s">
        <v>439</v>
      </c>
      <c r="DG120" s="598">
        <v>1062000</v>
      </c>
      <c r="DH120" s="598">
        <v>221000</v>
      </c>
      <c r="DI120" s="598">
        <v>65200</v>
      </c>
      <c r="DJ120" s="598">
        <v>286200</v>
      </c>
    </row>
    <row r="121" spans="109:114" ht="12.75">
      <c r="DE121" s="598">
        <v>570</v>
      </c>
      <c r="DF121" s="598" t="s">
        <v>525</v>
      </c>
      <c r="DG121" s="598"/>
      <c r="DH121" s="598"/>
      <c r="DI121" s="598">
        <v>0</v>
      </c>
      <c r="DJ121" s="598"/>
    </row>
    <row r="122" spans="109:114" ht="12.75">
      <c r="DE122" s="598">
        <v>275</v>
      </c>
      <c r="DF122" s="598" t="s">
        <v>526</v>
      </c>
      <c r="DG122" s="598">
        <v>2420</v>
      </c>
      <c r="DH122" s="598">
        <v>812</v>
      </c>
      <c r="DI122" s="598">
        <v>15</v>
      </c>
      <c r="DJ122" s="598">
        <v>837</v>
      </c>
    </row>
    <row r="123" spans="109:114" ht="12.75">
      <c r="DE123" s="598">
        <v>512</v>
      </c>
      <c r="DF123" s="598" t="s">
        <v>440</v>
      </c>
      <c r="DG123" s="598">
        <v>38690</v>
      </c>
      <c r="DH123" s="598">
        <v>1400</v>
      </c>
      <c r="DI123" s="598">
        <v>0</v>
      </c>
      <c r="DJ123" s="598">
        <v>1400</v>
      </c>
    </row>
    <row r="124" spans="109:114" ht="12.75">
      <c r="DE124" s="598">
        <v>586</v>
      </c>
      <c r="DF124" s="598" t="s">
        <v>441</v>
      </c>
      <c r="DG124" s="598">
        <v>393300</v>
      </c>
      <c r="DH124" s="598">
        <v>55000</v>
      </c>
      <c r="DI124" s="598">
        <v>265100</v>
      </c>
      <c r="DJ124" s="598">
        <v>246800</v>
      </c>
    </row>
    <row r="125" spans="109:114" ht="12.75">
      <c r="DE125" s="598">
        <v>585</v>
      </c>
      <c r="DF125" s="598" t="s">
        <v>166</v>
      </c>
      <c r="DG125" s="598"/>
      <c r="DH125" s="598"/>
      <c r="DI125" s="598">
        <v>0</v>
      </c>
      <c r="DJ125" s="598"/>
    </row>
    <row r="126" spans="109:114" ht="12.75">
      <c r="DE126" s="598">
        <v>591</v>
      </c>
      <c r="DF126" s="598" t="s">
        <v>442</v>
      </c>
      <c r="DG126" s="598">
        <v>220800</v>
      </c>
      <c r="DH126" s="598">
        <v>136600</v>
      </c>
      <c r="DI126" s="598">
        <v>0</v>
      </c>
      <c r="DJ126" s="598">
        <v>139300</v>
      </c>
    </row>
    <row r="127" spans="109:114" ht="12.75">
      <c r="DE127" s="598">
        <v>598</v>
      </c>
      <c r="DF127" s="598" t="s">
        <v>443</v>
      </c>
      <c r="DG127" s="598">
        <v>1454000</v>
      </c>
      <c r="DH127" s="598">
        <v>801000</v>
      </c>
      <c r="DI127" s="598">
        <v>0</v>
      </c>
      <c r="DJ127" s="598">
        <v>801000</v>
      </c>
    </row>
    <row r="128" spans="109:114" ht="12.75">
      <c r="DE128" s="598">
        <v>600</v>
      </c>
      <c r="DF128" s="598" t="s">
        <v>444</v>
      </c>
      <c r="DG128" s="598">
        <v>459600</v>
      </c>
      <c r="DH128" s="598">
        <v>117000</v>
      </c>
      <c r="DI128" s="598">
        <v>73270</v>
      </c>
      <c r="DJ128" s="598">
        <v>387800</v>
      </c>
    </row>
    <row r="129" spans="109:114" ht="12.75">
      <c r="DE129" s="598">
        <v>604</v>
      </c>
      <c r="DF129" s="598" t="s">
        <v>445</v>
      </c>
      <c r="DG129" s="598">
        <v>2234000</v>
      </c>
      <c r="DH129" s="598">
        <v>1641000</v>
      </c>
      <c r="DI129" s="598">
        <v>128800.00000000001</v>
      </c>
      <c r="DJ129" s="598">
        <v>1880000</v>
      </c>
    </row>
    <row r="130" spans="109:114" ht="12.75">
      <c r="DE130" s="598">
        <v>608</v>
      </c>
      <c r="DF130" s="598" t="s">
        <v>446</v>
      </c>
      <c r="DG130" s="598">
        <v>704400</v>
      </c>
      <c r="DH130" s="598">
        <v>479000</v>
      </c>
      <c r="DI130" s="598">
        <v>0</v>
      </c>
      <c r="DJ130" s="598">
        <v>479000</v>
      </c>
    </row>
    <row r="131" spans="109:114" ht="12.75">
      <c r="DE131" s="598">
        <v>630</v>
      </c>
      <c r="DF131" s="598" t="s">
        <v>447</v>
      </c>
      <c r="DG131" s="598">
        <v>18220</v>
      </c>
      <c r="DH131" s="598">
        <v>7100</v>
      </c>
      <c r="DI131" s="598">
        <v>0</v>
      </c>
      <c r="DJ131" s="598">
        <v>7100</v>
      </c>
    </row>
    <row r="132" spans="109:114" ht="12.75">
      <c r="DE132" s="598">
        <v>634</v>
      </c>
      <c r="DF132" s="598" t="s">
        <v>448</v>
      </c>
      <c r="DG132" s="598">
        <v>859.1</v>
      </c>
      <c r="DH132" s="598">
        <v>56</v>
      </c>
      <c r="DI132" s="598">
        <v>0</v>
      </c>
      <c r="DJ132" s="598">
        <v>58</v>
      </c>
    </row>
    <row r="133" spans="109:114" ht="12.75">
      <c r="DE133" s="598">
        <v>498</v>
      </c>
      <c r="DF133" s="598" t="s">
        <v>449</v>
      </c>
      <c r="DG133" s="598">
        <v>15230</v>
      </c>
      <c r="DH133" s="598">
        <v>1620</v>
      </c>
      <c r="DI133" s="598">
        <v>9200</v>
      </c>
      <c r="DJ133" s="598">
        <v>12270</v>
      </c>
    </row>
    <row r="134" spans="109:114" ht="12.75">
      <c r="DE134" s="598">
        <v>638</v>
      </c>
      <c r="DF134" s="598" t="s">
        <v>450</v>
      </c>
      <c r="DG134" s="598"/>
      <c r="DH134" s="598"/>
      <c r="DI134" s="598"/>
      <c r="DJ134" s="598"/>
    </row>
    <row r="135" spans="109:114" ht="12.75">
      <c r="DE135" s="598">
        <v>642</v>
      </c>
      <c r="DF135" s="598" t="s">
        <v>451</v>
      </c>
      <c r="DG135" s="598">
        <v>151900</v>
      </c>
      <c r="DH135" s="598">
        <v>42380</v>
      </c>
      <c r="DI135" s="598">
        <v>168100</v>
      </c>
      <c r="DJ135" s="598">
        <v>212000</v>
      </c>
    </row>
    <row r="136" spans="109:114" ht="12.75">
      <c r="DE136" s="598">
        <v>643</v>
      </c>
      <c r="DF136" s="598" t="s">
        <v>457</v>
      </c>
      <c r="DG136" s="598">
        <v>7865000</v>
      </c>
      <c r="DH136" s="598">
        <v>4312000</v>
      </c>
      <c r="DI136" s="598">
        <v>204600</v>
      </c>
      <c r="DJ136" s="598">
        <v>4525000</v>
      </c>
    </row>
    <row r="137" spans="109:114" ht="12.75">
      <c r="DE137" s="598">
        <v>646</v>
      </c>
      <c r="DF137" s="598" t="s">
        <v>458</v>
      </c>
      <c r="DG137" s="598">
        <v>31920</v>
      </c>
      <c r="DH137" s="598">
        <v>9500</v>
      </c>
      <c r="DI137" s="598">
        <v>3800</v>
      </c>
      <c r="DJ137" s="598">
        <v>13300</v>
      </c>
    </row>
    <row r="138" spans="109:114" ht="12.75">
      <c r="DE138" s="598">
        <v>654</v>
      </c>
      <c r="DF138" s="598" t="s">
        <v>459</v>
      </c>
      <c r="DG138" s="598"/>
      <c r="DH138" s="598"/>
      <c r="DI138" s="598"/>
      <c r="DJ138" s="598"/>
    </row>
    <row r="139" spans="109:114" ht="12.75">
      <c r="DE139" s="598">
        <v>659</v>
      </c>
      <c r="DF139" s="598" t="s">
        <v>460</v>
      </c>
      <c r="DG139" s="598">
        <v>371</v>
      </c>
      <c r="DH139" s="598">
        <v>24</v>
      </c>
      <c r="DI139" s="598">
        <v>0</v>
      </c>
      <c r="DJ139" s="598">
        <v>24</v>
      </c>
    </row>
    <row r="140" spans="109:114" ht="12.75">
      <c r="DE140" s="598">
        <v>662</v>
      </c>
      <c r="DF140" s="598" t="s">
        <v>461</v>
      </c>
      <c r="DG140" s="598">
        <v>1427</v>
      </c>
      <c r="DH140" s="598">
        <v>300</v>
      </c>
      <c r="DI140" s="598">
        <v>0</v>
      </c>
      <c r="DJ140" s="598">
        <v>300</v>
      </c>
    </row>
    <row r="141" spans="109:114" ht="12.75">
      <c r="DE141" s="598">
        <v>670</v>
      </c>
      <c r="DF141" s="598" t="s">
        <v>167</v>
      </c>
      <c r="DG141" s="598">
        <v>617.4</v>
      </c>
      <c r="DH141" s="598">
        <v>100</v>
      </c>
      <c r="DI141" s="598">
        <v>0</v>
      </c>
      <c r="DJ141" s="598">
        <v>100</v>
      </c>
    </row>
    <row r="142" spans="109:114" ht="12.75">
      <c r="DE142" s="598">
        <v>882</v>
      </c>
      <c r="DF142" s="598" t="s">
        <v>462</v>
      </c>
      <c r="DG142" s="598">
        <v>8179</v>
      </c>
      <c r="DH142" s="598"/>
      <c r="DI142" s="598">
        <v>0</v>
      </c>
      <c r="DJ142" s="598"/>
    </row>
    <row r="143" spans="109:114" ht="12.75">
      <c r="DE143" s="598">
        <v>674</v>
      </c>
      <c r="DF143" s="598" t="s">
        <v>168</v>
      </c>
      <c r="DG143" s="598"/>
      <c r="DH143" s="598"/>
      <c r="DI143" s="598"/>
      <c r="DJ143" s="598"/>
    </row>
    <row r="144" spans="109:114" ht="12.75">
      <c r="DE144" s="598">
        <v>678</v>
      </c>
      <c r="DF144" s="598" t="s">
        <v>465</v>
      </c>
      <c r="DG144" s="598">
        <v>3072</v>
      </c>
      <c r="DH144" s="598">
        <v>2180</v>
      </c>
      <c r="DI144" s="598">
        <v>0</v>
      </c>
      <c r="DJ144" s="598">
        <v>2180</v>
      </c>
    </row>
    <row r="145" spans="109:114" ht="12.75">
      <c r="DE145" s="598">
        <v>682</v>
      </c>
      <c r="DF145" s="598" t="s">
        <v>466</v>
      </c>
      <c r="DG145" s="598">
        <v>126800</v>
      </c>
      <c r="DH145" s="598">
        <v>2400</v>
      </c>
      <c r="DI145" s="598">
        <v>0</v>
      </c>
      <c r="DJ145" s="598">
        <v>2400</v>
      </c>
    </row>
    <row r="146" spans="109:114" ht="12.75">
      <c r="DE146" s="598">
        <v>686</v>
      </c>
      <c r="DF146" s="598" t="s">
        <v>467</v>
      </c>
      <c r="DG146" s="598">
        <v>134900</v>
      </c>
      <c r="DH146" s="598">
        <v>25800</v>
      </c>
      <c r="DI146" s="598">
        <v>2170</v>
      </c>
      <c r="DJ146" s="598">
        <v>38970</v>
      </c>
    </row>
    <row r="147" spans="109:114" ht="12.75">
      <c r="DE147" s="598">
        <v>891</v>
      </c>
      <c r="DF147" s="598" t="s">
        <v>169</v>
      </c>
      <c r="DG147" s="598">
        <v>49980</v>
      </c>
      <c r="DH147" s="598">
        <v>8407</v>
      </c>
      <c r="DI147" s="598"/>
      <c r="DJ147" s="598">
        <v>162200</v>
      </c>
    </row>
    <row r="148" spans="109:114" ht="12.75">
      <c r="DE148" s="598">
        <v>690</v>
      </c>
      <c r="DF148" s="598" t="s">
        <v>468</v>
      </c>
      <c r="DG148" s="598">
        <v>1072</v>
      </c>
      <c r="DH148" s="598"/>
      <c r="DI148" s="598">
        <v>0</v>
      </c>
      <c r="DJ148" s="598"/>
    </row>
    <row r="149" spans="109:114" ht="12.75">
      <c r="DE149" s="598">
        <v>694</v>
      </c>
      <c r="DF149" s="598" t="s">
        <v>469</v>
      </c>
      <c r="DG149" s="598">
        <v>182600</v>
      </c>
      <c r="DH149" s="598">
        <v>160000</v>
      </c>
      <c r="DI149" s="598">
        <v>0</v>
      </c>
      <c r="DJ149" s="598">
        <v>160000</v>
      </c>
    </row>
    <row r="150" spans="109:114" ht="12.75">
      <c r="DE150" s="598">
        <v>702</v>
      </c>
      <c r="DF150" s="598" t="s">
        <v>470</v>
      </c>
      <c r="DG150" s="598">
        <v>1795</v>
      </c>
      <c r="DH150" s="598">
        <v>600</v>
      </c>
      <c r="DI150" s="598">
        <v>0</v>
      </c>
      <c r="DJ150" s="598">
        <v>600</v>
      </c>
    </row>
    <row r="151" spans="109:114" ht="12.75">
      <c r="DE151" s="598">
        <v>703</v>
      </c>
      <c r="DF151" s="598" t="s">
        <v>471</v>
      </c>
      <c r="DG151" s="598">
        <v>40410</v>
      </c>
      <c r="DH151" s="598">
        <v>12600</v>
      </c>
      <c r="DI151" s="598">
        <v>0</v>
      </c>
      <c r="DJ151" s="598">
        <v>50100</v>
      </c>
    </row>
    <row r="152" spans="109:114" ht="12.75">
      <c r="DE152" s="598">
        <v>90</v>
      </c>
      <c r="DF152" s="598" t="s">
        <v>472</v>
      </c>
      <c r="DG152" s="598">
        <v>87510</v>
      </c>
      <c r="DH152" s="598">
        <v>44700</v>
      </c>
      <c r="DI152" s="598">
        <v>0</v>
      </c>
      <c r="DJ152" s="598">
        <v>44700</v>
      </c>
    </row>
    <row r="153" spans="109:114" ht="25.5" customHeight="1">
      <c r="DE153" s="598">
        <v>706</v>
      </c>
      <c r="DF153" s="598" t="s">
        <v>473</v>
      </c>
      <c r="DG153" s="598">
        <v>179800</v>
      </c>
      <c r="DH153" s="598">
        <v>6000</v>
      </c>
      <c r="DI153" s="598">
        <v>8700</v>
      </c>
      <c r="DJ153" s="598">
        <v>14700</v>
      </c>
    </row>
    <row r="154" spans="109:114" ht="12.75">
      <c r="DE154" s="598">
        <v>710</v>
      </c>
      <c r="DF154" s="598" t="s">
        <v>474</v>
      </c>
      <c r="DG154" s="598">
        <v>603400</v>
      </c>
      <c r="DH154" s="598">
        <v>44800</v>
      </c>
      <c r="DI154" s="598">
        <v>6600</v>
      </c>
      <c r="DJ154" s="598">
        <v>51350</v>
      </c>
    </row>
    <row r="155" spans="109:114" ht="12.75">
      <c r="DE155" s="598">
        <v>728</v>
      </c>
      <c r="DF155" s="598" t="s">
        <v>527</v>
      </c>
      <c r="DG155" s="598">
        <v>579900</v>
      </c>
      <c r="DH155" s="598">
        <v>26000</v>
      </c>
      <c r="DI155" s="598">
        <v>50000</v>
      </c>
      <c r="DJ155" s="598">
        <v>49500</v>
      </c>
    </row>
    <row r="156" spans="109:114" ht="12.75">
      <c r="DE156" s="598">
        <v>144</v>
      </c>
      <c r="DF156" s="598" t="s">
        <v>475</v>
      </c>
      <c r="DG156" s="598">
        <v>112300</v>
      </c>
      <c r="DH156" s="598">
        <v>52800</v>
      </c>
      <c r="DI156" s="598">
        <v>0</v>
      </c>
      <c r="DJ156" s="598">
        <v>52800</v>
      </c>
    </row>
    <row r="157" spans="109:114" ht="12.75">
      <c r="DE157" s="598">
        <v>729</v>
      </c>
      <c r="DF157" s="598" t="s">
        <v>528</v>
      </c>
      <c r="DG157" s="598">
        <v>469800</v>
      </c>
      <c r="DH157" s="598">
        <v>4000</v>
      </c>
      <c r="DI157" s="598">
        <v>99300</v>
      </c>
      <c r="DJ157" s="598">
        <v>37800</v>
      </c>
    </row>
    <row r="158" spans="109:114" ht="12.75">
      <c r="DE158" s="598">
        <v>740</v>
      </c>
      <c r="DF158" s="598" t="s">
        <v>476</v>
      </c>
      <c r="DG158" s="598">
        <v>381900</v>
      </c>
      <c r="DH158" s="598">
        <v>99000</v>
      </c>
      <c r="DI158" s="598">
        <v>0</v>
      </c>
      <c r="DJ158" s="598">
        <v>99000</v>
      </c>
    </row>
    <row r="159" spans="109:114" ht="12.75">
      <c r="DE159" s="598">
        <v>748</v>
      </c>
      <c r="DF159" s="598" t="s">
        <v>477</v>
      </c>
      <c r="DG159" s="598">
        <v>13680</v>
      </c>
      <c r="DH159" s="598">
        <v>2640</v>
      </c>
      <c r="DI159" s="598">
        <v>1870</v>
      </c>
      <c r="DJ159" s="598">
        <v>4510</v>
      </c>
    </row>
    <row r="160" spans="109:114" ht="12.75">
      <c r="DE160" s="598">
        <v>760</v>
      </c>
      <c r="DF160" s="598" t="s">
        <v>481</v>
      </c>
      <c r="DG160" s="598">
        <v>46670</v>
      </c>
      <c r="DH160" s="598">
        <v>7132</v>
      </c>
      <c r="DI160" s="598">
        <v>28520</v>
      </c>
      <c r="DJ160" s="598">
        <v>16800</v>
      </c>
    </row>
    <row r="161" spans="109:114" ht="12.75">
      <c r="DE161" s="598">
        <v>762</v>
      </c>
      <c r="DF161" s="598" t="s">
        <v>482</v>
      </c>
      <c r="DG161" s="598">
        <v>97690</v>
      </c>
      <c r="DH161" s="598">
        <v>63460</v>
      </c>
      <c r="DI161" s="598">
        <v>34190</v>
      </c>
      <c r="DJ161" s="598">
        <v>21910</v>
      </c>
    </row>
    <row r="162" spans="109:114" ht="12.75">
      <c r="DE162" s="598">
        <v>764</v>
      </c>
      <c r="DF162" s="598" t="s">
        <v>483</v>
      </c>
      <c r="DG162" s="598">
        <v>832300</v>
      </c>
      <c r="DH162" s="598">
        <v>224500</v>
      </c>
      <c r="DI162" s="598">
        <v>0</v>
      </c>
      <c r="DJ162" s="598">
        <v>438600</v>
      </c>
    </row>
    <row r="163" spans="109:114" ht="12.75">
      <c r="DE163" s="598">
        <v>807</v>
      </c>
      <c r="DF163" s="598" t="s">
        <v>170</v>
      </c>
      <c r="DG163" s="598">
        <v>15910</v>
      </c>
      <c r="DH163" s="598">
        <v>5400</v>
      </c>
      <c r="DI163" s="598">
        <v>1000</v>
      </c>
      <c r="DJ163" s="598">
        <v>6400</v>
      </c>
    </row>
    <row r="164" spans="109:114" ht="12.75">
      <c r="DE164" s="598">
        <v>626</v>
      </c>
      <c r="DF164" s="598" t="s">
        <v>171</v>
      </c>
      <c r="DG164" s="598">
        <v>22300</v>
      </c>
      <c r="DH164" s="598">
        <v>8215</v>
      </c>
      <c r="DI164" s="598">
        <v>0</v>
      </c>
      <c r="DJ164" s="598">
        <v>8215</v>
      </c>
    </row>
    <row r="165" spans="109:114" ht="12.75">
      <c r="DE165" s="598">
        <v>768</v>
      </c>
      <c r="DF165" s="598" t="s">
        <v>484</v>
      </c>
      <c r="DG165" s="598">
        <v>66330</v>
      </c>
      <c r="DH165" s="598">
        <v>11500</v>
      </c>
      <c r="DI165" s="598">
        <v>3200</v>
      </c>
      <c r="DJ165" s="598">
        <v>14700</v>
      </c>
    </row>
    <row r="166" spans="109:114" ht="12.75">
      <c r="DE166" s="599">
        <v>772</v>
      </c>
      <c r="DF166" s="599" t="s">
        <v>529</v>
      </c>
      <c r="DG166" s="599"/>
      <c r="DH166" s="599"/>
      <c r="DI166" s="599">
        <v>0</v>
      </c>
      <c r="DJ166" s="599"/>
    </row>
    <row r="167" spans="109:114" ht="12.75">
      <c r="DE167" s="599">
        <v>776</v>
      </c>
      <c r="DF167" s="599" t="s">
        <v>486</v>
      </c>
      <c r="DG167" s="599"/>
      <c r="DH167" s="599"/>
      <c r="DI167" s="599">
        <v>0</v>
      </c>
      <c r="DJ167" s="599"/>
    </row>
    <row r="168" spans="109:114" ht="12.75">
      <c r="DE168" s="598">
        <v>780</v>
      </c>
      <c r="DF168" s="598" t="s">
        <v>487</v>
      </c>
      <c r="DG168" s="598">
        <v>11290</v>
      </c>
      <c r="DH168" s="598">
        <v>3840</v>
      </c>
      <c r="DI168" s="598">
        <v>0</v>
      </c>
      <c r="DJ168" s="598">
        <v>3840</v>
      </c>
    </row>
    <row r="169" spans="109:114" ht="12.75">
      <c r="DE169" s="598">
        <v>788</v>
      </c>
      <c r="DF169" s="598" t="s">
        <v>488</v>
      </c>
      <c r="DG169" s="598">
        <v>33870</v>
      </c>
      <c r="DH169" s="598">
        <v>4195</v>
      </c>
      <c r="DI169" s="598">
        <v>320</v>
      </c>
      <c r="DJ169" s="598">
        <v>4615</v>
      </c>
    </row>
    <row r="170" spans="109:114" ht="12.75">
      <c r="DE170" s="598">
        <v>795</v>
      </c>
      <c r="DF170" s="598" t="s">
        <v>489</v>
      </c>
      <c r="DG170" s="598">
        <v>78580</v>
      </c>
      <c r="DH170" s="598">
        <v>1405</v>
      </c>
      <c r="DI170" s="598">
        <v>80200</v>
      </c>
      <c r="DJ170" s="598">
        <v>24770</v>
      </c>
    </row>
    <row r="171" spans="109:114" ht="12.75">
      <c r="DE171" s="598">
        <v>798</v>
      </c>
      <c r="DF171" s="598" t="s">
        <v>172</v>
      </c>
      <c r="DG171" s="598"/>
      <c r="DH171" s="598"/>
      <c r="DI171" s="598">
        <v>0</v>
      </c>
      <c r="DJ171" s="598"/>
    </row>
    <row r="172" spans="109:114" ht="12.75">
      <c r="DE172" s="598">
        <v>800</v>
      </c>
      <c r="DF172" s="598" t="s">
        <v>490</v>
      </c>
      <c r="DG172" s="598">
        <v>285000</v>
      </c>
      <c r="DH172" s="598">
        <v>39000</v>
      </c>
      <c r="DI172" s="598">
        <v>21100</v>
      </c>
      <c r="DJ172" s="598">
        <v>60100</v>
      </c>
    </row>
    <row r="173" spans="109:114" ht="12.75">
      <c r="DE173" s="598">
        <v>804</v>
      </c>
      <c r="DF173" s="598" t="s">
        <v>491</v>
      </c>
      <c r="DG173" s="598">
        <v>341000</v>
      </c>
      <c r="DH173" s="598">
        <v>55100</v>
      </c>
      <c r="DI173" s="598">
        <v>36130</v>
      </c>
      <c r="DJ173" s="598">
        <v>175300</v>
      </c>
    </row>
    <row r="174" spans="109:114" ht="12.75">
      <c r="DE174" s="598">
        <v>784</v>
      </c>
      <c r="DF174" s="598" t="s">
        <v>492</v>
      </c>
      <c r="DG174" s="598">
        <v>6521</v>
      </c>
      <c r="DH174" s="598">
        <v>150</v>
      </c>
      <c r="DI174" s="598">
        <v>0</v>
      </c>
      <c r="DJ174" s="598">
        <v>150</v>
      </c>
    </row>
    <row r="175" spans="109:114" ht="12.75">
      <c r="DE175" s="598">
        <v>834</v>
      </c>
      <c r="DF175" s="598" t="s">
        <v>173</v>
      </c>
      <c r="DG175" s="598">
        <v>1015000</v>
      </c>
      <c r="DH175" s="598">
        <v>84000</v>
      </c>
      <c r="DI175" s="598">
        <v>12270</v>
      </c>
      <c r="DJ175" s="598">
        <v>96270</v>
      </c>
    </row>
    <row r="176" spans="109:114" ht="25.5" customHeight="1">
      <c r="DE176" s="598">
        <v>858</v>
      </c>
      <c r="DF176" s="598" t="s">
        <v>494</v>
      </c>
      <c r="DG176" s="598">
        <v>229100</v>
      </c>
      <c r="DH176" s="598">
        <v>92200</v>
      </c>
      <c r="DI176" s="598">
        <v>5000</v>
      </c>
      <c r="DJ176" s="598">
        <v>172200</v>
      </c>
    </row>
    <row r="177" spans="109:114" ht="12.75">
      <c r="DE177" s="598">
        <v>860</v>
      </c>
      <c r="DF177" s="598" t="s">
        <v>495</v>
      </c>
      <c r="DG177" s="598">
        <v>92160</v>
      </c>
      <c r="DH177" s="598">
        <v>16340</v>
      </c>
      <c r="DI177" s="598">
        <v>102200</v>
      </c>
      <c r="DJ177" s="598">
        <v>48870</v>
      </c>
    </row>
    <row r="178" spans="109:114" ht="12.75">
      <c r="DE178" s="598">
        <v>548</v>
      </c>
      <c r="DF178" s="598" t="s">
        <v>174</v>
      </c>
      <c r="DG178" s="598">
        <v>24380</v>
      </c>
      <c r="DH178" s="598">
        <v>10000</v>
      </c>
      <c r="DI178" s="598">
        <v>0</v>
      </c>
      <c r="DJ178" s="598">
        <v>10000</v>
      </c>
    </row>
    <row r="179" spans="109:114" ht="38.25" customHeight="1">
      <c r="DE179" s="598">
        <v>862</v>
      </c>
      <c r="DF179" s="598" t="s">
        <v>175</v>
      </c>
      <c r="DG179" s="598">
        <v>1864000</v>
      </c>
      <c r="DH179" s="598">
        <v>805000</v>
      </c>
      <c r="DI179" s="598">
        <v>495000</v>
      </c>
      <c r="DJ179" s="598">
        <v>1325000</v>
      </c>
    </row>
    <row r="180" spans="109:114" ht="12.75">
      <c r="DE180" s="598">
        <v>704</v>
      </c>
      <c r="DF180" s="598" t="s">
        <v>496</v>
      </c>
      <c r="DG180" s="598">
        <v>602700</v>
      </c>
      <c r="DH180" s="598">
        <v>359400</v>
      </c>
      <c r="DI180" s="598">
        <v>524700</v>
      </c>
      <c r="DJ180" s="598">
        <v>884100</v>
      </c>
    </row>
    <row r="181" spans="109:114" ht="12.75">
      <c r="DE181" s="598">
        <v>887</v>
      </c>
      <c r="DF181" s="598" t="s">
        <v>497</v>
      </c>
      <c r="DG181" s="598">
        <v>88170</v>
      </c>
      <c r="DH181" s="598">
        <v>2100</v>
      </c>
      <c r="DI181" s="598">
        <v>0</v>
      </c>
      <c r="DJ181" s="598">
        <v>2100</v>
      </c>
    </row>
    <row r="182" spans="109:114" ht="12.75">
      <c r="DE182" s="598">
        <v>894</v>
      </c>
      <c r="DF182" s="598" t="s">
        <v>498</v>
      </c>
      <c r="DG182" s="598">
        <v>767700</v>
      </c>
      <c r="DH182" s="598">
        <v>80200</v>
      </c>
      <c r="DI182" s="598">
        <v>24600</v>
      </c>
      <c r="DJ182" s="598">
        <v>104800</v>
      </c>
    </row>
    <row r="183" spans="109:114" ht="12.75">
      <c r="DE183" s="598">
        <v>716</v>
      </c>
      <c r="DF183" s="598" t="s">
        <v>499</v>
      </c>
      <c r="DG183" s="598">
        <v>256700</v>
      </c>
      <c r="DH183" s="598">
        <v>12260</v>
      </c>
      <c r="DI183" s="598">
        <v>0</v>
      </c>
      <c r="DJ183" s="598">
        <v>20000</v>
      </c>
    </row>
    <row r="207" ht="22.5" customHeight="1"/>
  </sheetData>
  <sheetProtection sheet="1" objects="1" scenarios="1" formatCells="0" formatColumns="0" formatRows="0" insertColumns="0"/>
  <mergeCells count="49">
    <mergeCell ref="V29:AA29"/>
    <mergeCell ref="V31:AA31"/>
    <mergeCell ref="F26:I26"/>
    <mergeCell ref="M26:Q26"/>
    <mergeCell ref="H28:O28"/>
    <mergeCell ref="F30:I30"/>
    <mergeCell ref="M30:P30"/>
    <mergeCell ref="AB6:AN6"/>
    <mergeCell ref="C4:BD4"/>
    <mergeCell ref="D22:BD22"/>
    <mergeCell ref="D36:BD36"/>
    <mergeCell ref="D23:BD23"/>
    <mergeCell ref="AB26:AE26"/>
    <mergeCell ref="AJ26:AN26"/>
    <mergeCell ref="AD28:AL28"/>
    <mergeCell ref="AT31:BC31"/>
    <mergeCell ref="AB30:AE30"/>
    <mergeCell ref="DE5:DH5"/>
    <mergeCell ref="C5:AT5"/>
    <mergeCell ref="D37:BD37"/>
    <mergeCell ref="D20:BD20"/>
    <mergeCell ref="D21:BD21"/>
    <mergeCell ref="D35:BD35"/>
    <mergeCell ref="D24:BD24"/>
    <mergeCell ref="AB31:AE31"/>
    <mergeCell ref="AK31:AN31"/>
    <mergeCell ref="AT29:BC29"/>
    <mergeCell ref="C58:AO59"/>
    <mergeCell ref="D54:BD54"/>
    <mergeCell ref="D55:BD55"/>
    <mergeCell ref="D56:BD56"/>
    <mergeCell ref="D57:BD57"/>
    <mergeCell ref="D50:BD50"/>
    <mergeCell ref="D51:BD51"/>
    <mergeCell ref="D52:BD52"/>
    <mergeCell ref="D53:BD53"/>
    <mergeCell ref="D47:BD47"/>
    <mergeCell ref="D48:BD48"/>
    <mergeCell ref="D49:BD49"/>
    <mergeCell ref="D42:BD42"/>
    <mergeCell ref="D43:BD43"/>
    <mergeCell ref="D44:BD44"/>
    <mergeCell ref="D45:BD45"/>
    <mergeCell ref="AK30:AN30"/>
    <mergeCell ref="D38:BD38"/>
    <mergeCell ref="D39:BD39"/>
    <mergeCell ref="D40:BD40"/>
    <mergeCell ref="D41:BD41"/>
    <mergeCell ref="D46:BD46"/>
  </mergeCells>
  <conditionalFormatting sqref="F10">
    <cfRule type="cellIs" priority="78" dxfId="211" operator="lessThan" stopIfTrue="1">
      <formula>F8-F9-(0.01*(F8-F9))</formula>
    </cfRule>
  </conditionalFormatting>
  <conditionalFormatting sqref="F12">
    <cfRule type="cellIs" priority="79" dxfId="211" operator="lessThan" stopIfTrue="1">
      <formula>F10+F11-(0.01*(F10+F11))</formula>
    </cfRule>
  </conditionalFormatting>
  <conditionalFormatting sqref="F13">
    <cfRule type="cellIs" priority="80" dxfId="211" operator="lessThan" stopIfTrue="1">
      <formula>0.99*(F14+F15)</formula>
    </cfRule>
  </conditionalFormatting>
  <conditionalFormatting sqref="H10">
    <cfRule type="cellIs" priority="76" dxfId="211" operator="lessThan" stopIfTrue="1">
      <formula>H8-H9-(0.01*(H8-H9))</formula>
    </cfRule>
  </conditionalFormatting>
  <conditionalFormatting sqref="H12">
    <cfRule type="cellIs" priority="77" dxfId="211" operator="lessThan" stopIfTrue="1">
      <formula>H10+H11-(0.01*(H10+H11))</formula>
    </cfRule>
  </conditionalFormatting>
  <conditionalFormatting sqref="J10">
    <cfRule type="cellIs" priority="74" dxfId="211" operator="lessThan" stopIfTrue="1">
      <formula>J8-J9-(0.01*(J8-J9))</formula>
    </cfRule>
  </conditionalFormatting>
  <conditionalFormatting sqref="J12">
    <cfRule type="cellIs" priority="75" dxfId="211" operator="lessThan" stopIfTrue="1">
      <formula>J10+J11-(0.01*(J10+J11))</formula>
    </cfRule>
  </conditionalFormatting>
  <conditionalFormatting sqref="L10">
    <cfRule type="cellIs" priority="72" dxfId="211" operator="lessThan" stopIfTrue="1">
      <formula>L8-L9-(0.01*(L8-L9))</formula>
    </cfRule>
  </conditionalFormatting>
  <conditionalFormatting sqref="L12">
    <cfRule type="cellIs" priority="73" dxfId="211" operator="lessThan" stopIfTrue="1">
      <formula>L10+L11-(0.01*(L10+L11))</formula>
    </cfRule>
  </conditionalFormatting>
  <conditionalFormatting sqref="N10">
    <cfRule type="cellIs" priority="70" dxfId="211" operator="lessThan" stopIfTrue="1">
      <formula>N8-N9-(0.01*(N8-N9))</formula>
    </cfRule>
  </conditionalFormatting>
  <conditionalFormatting sqref="N12">
    <cfRule type="cellIs" priority="71" dxfId="211" operator="lessThan" stopIfTrue="1">
      <formula>N10+N11-(0.01*(N10+N11))</formula>
    </cfRule>
  </conditionalFormatting>
  <conditionalFormatting sqref="P10">
    <cfRule type="cellIs" priority="68" dxfId="211" operator="lessThan" stopIfTrue="1">
      <formula>P8-P9-(0.01*(P8-P9))</formula>
    </cfRule>
  </conditionalFormatting>
  <conditionalFormatting sqref="P12">
    <cfRule type="cellIs" priority="69" dxfId="211" operator="lessThan" stopIfTrue="1">
      <formula>P10+P11-(0.01*(P10+P11))</formula>
    </cfRule>
  </conditionalFormatting>
  <conditionalFormatting sqref="R10">
    <cfRule type="cellIs" priority="66" dxfId="211" operator="lessThan" stopIfTrue="1">
      <formula>R8-R9-(0.01*(R8-R9))</formula>
    </cfRule>
  </conditionalFormatting>
  <conditionalFormatting sqref="R12">
    <cfRule type="cellIs" priority="67" dxfId="211" operator="lessThan" stopIfTrue="1">
      <formula>R10+R11-(0.01*(R10+R11))</formula>
    </cfRule>
  </conditionalFormatting>
  <conditionalFormatting sqref="T10">
    <cfRule type="cellIs" priority="64" dxfId="211" operator="lessThan" stopIfTrue="1">
      <formula>T8-T9-(0.01*(T8-T9))</formula>
    </cfRule>
  </conditionalFormatting>
  <conditionalFormatting sqref="T12">
    <cfRule type="cellIs" priority="65" dxfId="211" operator="lessThan" stopIfTrue="1">
      <formula>T10+T11-(0.01*(T10+T11))</formula>
    </cfRule>
  </conditionalFormatting>
  <conditionalFormatting sqref="V10">
    <cfRule type="cellIs" priority="62" dxfId="211" operator="lessThan" stopIfTrue="1">
      <formula>V8-V9-(0.01*(V8-V9))</formula>
    </cfRule>
  </conditionalFormatting>
  <conditionalFormatting sqref="V12">
    <cfRule type="cellIs" priority="63" dxfId="211" operator="lessThan" stopIfTrue="1">
      <formula>V10+V11-(0.01*(V10+V11))</formula>
    </cfRule>
  </conditionalFormatting>
  <conditionalFormatting sqref="X10">
    <cfRule type="cellIs" priority="60" dxfId="211" operator="lessThan" stopIfTrue="1">
      <formula>X8-X9-(0.01*(X8-X9))</formula>
    </cfRule>
  </conditionalFormatting>
  <conditionalFormatting sqref="X12">
    <cfRule type="cellIs" priority="61" dxfId="211" operator="lessThan" stopIfTrue="1">
      <formula>X10+X11-(0.01*(X10+X11))</formula>
    </cfRule>
  </conditionalFormatting>
  <conditionalFormatting sqref="Z10">
    <cfRule type="cellIs" priority="58" dxfId="211" operator="lessThan" stopIfTrue="1">
      <formula>Z8-Z9-(0.01*(Z8-Z9))</formula>
    </cfRule>
  </conditionalFormatting>
  <conditionalFormatting sqref="Z12">
    <cfRule type="cellIs" priority="59" dxfId="211" operator="lessThan" stopIfTrue="1">
      <formula>Z10+Z11-(0.01*(Z10+Z11))</formula>
    </cfRule>
  </conditionalFormatting>
  <conditionalFormatting sqref="AB10">
    <cfRule type="cellIs" priority="56" dxfId="211" operator="lessThan" stopIfTrue="1">
      <formula>AB8-AB9-(0.01*(AB8-AB9))</formula>
    </cfRule>
  </conditionalFormatting>
  <conditionalFormatting sqref="AB12">
    <cfRule type="cellIs" priority="57" dxfId="211" operator="lessThan" stopIfTrue="1">
      <formula>AB10+AB11-(0.01*(AB10+AB11))</formula>
    </cfRule>
  </conditionalFormatting>
  <conditionalFormatting sqref="AD10">
    <cfRule type="cellIs" priority="54" dxfId="211" operator="lessThan" stopIfTrue="1">
      <formula>AD8-AD9-(0.01*(AD8-AD9))</formula>
    </cfRule>
  </conditionalFormatting>
  <conditionalFormatting sqref="AD12">
    <cfRule type="cellIs" priority="55" dxfId="211" operator="lessThan" stopIfTrue="1">
      <formula>AD10+AD11-(0.01*(AD10+AD11))</formula>
    </cfRule>
  </conditionalFormatting>
  <conditionalFormatting sqref="AF10">
    <cfRule type="cellIs" priority="52" dxfId="211" operator="lessThan" stopIfTrue="1">
      <formula>AF8-AF9-(0.01*(AF8-AF9))</formula>
    </cfRule>
  </conditionalFormatting>
  <conditionalFormatting sqref="AF12">
    <cfRule type="cellIs" priority="53" dxfId="211" operator="lessThan" stopIfTrue="1">
      <formula>AF10+AF11-(0.01*(AF10+AF11))</formula>
    </cfRule>
  </conditionalFormatting>
  <conditionalFormatting sqref="AH10">
    <cfRule type="cellIs" priority="50" dxfId="211" operator="lessThan" stopIfTrue="1">
      <formula>AH8-AH9-(0.01*(AH8-AH9))</formula>
    </cfRule>
  </conditionalFormatting>
  <conditionalFormatting sqref="AH12">
    <cfRule type="cellIs" priority="51" dxfId="211" operator="lessThan" stopIfTrue="1">
      <formula>AH10+AH11-(0.01*(AH10+AH11))</formula>
    </cfRule>
  </conditionalFormatting>
  <conditionalFormatting sqref="AJ10">
    <cfRule type="cellIs" priority="48" dxfId="211" operator="lessThan" stopIfTrue="1">
      <formula>AJ8-AJ9-(0.01*(AJ8-AJ9))</formula>
    </cfRule>
  </conditionalFormatting>
  <conditionalFormatting sqref="AJ12">
    <cfRule type="cellIs" priority="49" dxfId="211" operator="lessThan" stopIfTrue="1">
      <formula>AJ10+AJ11-(0.01*(AJ10+AJ11))</formula>
    </cfRule>
  </conditionalFormatting>
  <conditionalFormatting sqref="AN10">
    <cfRule type="cellIs" priority="46" dxfId="211" operator="lessThan" stopIfTrue="1">
      <formula>AN8-AN9-(0.01*(AN8-AN9))</formula>
    </cfRule>
  </conditionalFormatting>
  <conditionalFormatting sqref="AN12">
    <cfRule type="cellIs" priority="47" dxfId="211" operator="lessThan" stopIfTrue="1">
      <formula>AN10+AN11-(0.01*(AN10+AN11))</formula>
    </cfRule>
  </conditionalFormatting>
  <conditionalFormatting sqref="AP10">
    <cfRule type="cellIs" priority="44" dxfId="211" operator="lessThan" stopIfTrue="1">
      <formula>AP8-AP9-(0.01*(AP8-AP9))</formula>
    </cfRule>
  </conditionalFormatting>
  <conditionalFormatting sqref="AP12">
    <cfRule type="cellIs" priority="45" dxfId="211" operator="lessThan" stopIfTrue="1">
      <formula>AP10+AP11-(0.01*(AP10+AP11))</formula>
    </cfRule>
  </conditionalFormatting>
  <conditionalFormatting sqref="AR10">
    <cfRule type="cellIs" priority="42" dxfId="211" operator="lessThan" stopIfTrue="1">
      <formula>AR8-AR9-(0.01*(AR8-AR9))</formula>
    </cfRule>
  </conditionalFormatting>
  <conditionalFormatting sqref="AR12">
    <cfRule type="cellIs" priority="43" dxfId="211" operator="lessThan" stopIfTrue="1">
      <formula>AR10+AR11-(0.01*(AR10+AR11))</formula>
    </cfRule>
  </conditionalFormatting>
  <conditionalFormatting sqref="AT10">
    <cfRule type="cellIs" priority="40" dxfId="211" operator="lessThan" stopIfTrue="1">
      <formula>AT8-AT9-(0.01*(AT8-AT9))</formula>
    </cfRule>
  </conditionalFormatting>
  <conditionalFormatting sqref="AT12">
    <cfRule type="cellIs" priority="41" dxfId="211" operator="lessThan" stopIfTrue="1">
      <formula>AT10+AT11-(0.01*(AT10+AT11))</formula>
    </cfRule>
  </conditionalFormatting>
  <conditionalFormatting sqref="AV10">
    <cfRule type="cellIs" priority="38" dxfId="211" operator="lessThan" stopIfTrue="1">
      <formula>AV8-AV9-(0.01*(AV8-AV9))</formula>
    </cfRule>
  </conditionalFormatting>
  <conditionalFormatting sqref="AV12">
    <cfRule type="cellIs" priority="39" dxfId="211" operator="lessThan" stopIfTrue="1">
      <formula>AV10+AV11-(0.01*(AV10+AV11))</formula>
    </cfRule>
  </conditionalFormatting>
  <conditionalFormatting sqref="BB10">
    <cfRule type="cellIs" priority="36" dxfId="211" operator="lessThan" stopIfTrue="1">
      <formula>BB8-BB9-(0.01*(BB8-BB9))</formula>
    </cfRule>
  </conditionalFormatting>
  <conditionalFormatting sqref="BB12">
    <cfRule type="cellIs" priority="37" dxfId="211" operator="lessThan" stopIfTrue="1">
      <formula>BB10+BB11-(0.01*(BB10+BB11))</formula>
    </cfRule>
  </conditionalFormatting>
  <conditionalFormatting sqref="H13">
    <cfRule type="cellIs" priority="35" dxfId="211" operator="lessThan" stopIfTrue="1">
      <formula>0.99*(H14+H15)</formula>
    </cfRule>
  </conditionalFormatting>
  <conditionalFormatting sqref="J13">
    <cfRule type="cellIs" priority="34" dxfId="211" operator="lessThan" stopIfTrue="1">
      <formula>0.99*(J14+J15)</formula>
    </cfRule>
  </conditionalFormatting>
  <conditionalFormatting sqref="L13">
    <cfRule type="cellIs" priority="33" dxfId="211" operator="lessThan" stopIfTrue="1">
      <formula>0.99*(L14+L15)</formula>
    </cfRule>
  </conditionalFormatting>
  <conditionalFormatting sqref="N13">
    <cfRule type="cellIs" priority="32" dxfId="211" operator="lessThan" stopIfTrue="1">
      <formula>0.99*(N14+N15)</formula>
    </cfRule>
  </conditionalFormatting>
  <conditionalFormatting sqref="P13">
    <cfRule type="cellIs" priority="31" dxfId="211" operator="lessThan" stopIfTrue="1">
      <formula>0.99*(P14+P15)</formula>
    </cfRule>
  </conditionalFormatting>
  <conditionalFormatting sqref="R13">
    <cfRule type="cellIs" priority="30" dxfId="211" operator="lessThan" stopIfTrue="1">
      <formula>0.99*(R14+R15)</formula>
    </cfRule>
  </conditionalFormatting>
  <conditionalFormatting sqref="T13">
    <cfRule type="cellIs" priority="29" dxfId="211" operator="lessThan" stopIfTrue="1">
      <formula>0.99*(T14+T15)</formula>
    </cfRule>
  </conditionalFormatting>
  <conditionalFormatting sqref="V13">
    <cfRule type="cellIs" priority="28" dxfId="211" operator="lessThan" stopIfTrue="1">
      <formula>0.99*(V14+V15)</formula>
    </cfRule>
  </conditionalFormatting>
  <conditionalFormatting sqref="X13">
    <cfRule type="cellIs" priority="27" dxfId="211" operator="lessThan" stopIfTrue="1">
      <formula>0.99*(X14+X15)</formula>
    </cfRule>
  </conditionalFormatting>
  <conditionalFormatting sqref="Z13">
    <cfRule type="cellIs" priority="26" dxfId="211" operator="lessThan" stopIfTrue="1">
      <formula>0.99*(Z14+Z15)</formula>
    </cfRule>
  </conditionalFormatting>
  <conditionalFormatting sqref="AB13">
    <cfRule type="cellIs" priority="25" dxfId="211" operator="lessThan" stopIfTrue="1">
      <formula>0.99*(AB14+AB15)</formula>
    </cfRule>
  </conditionalFormatting>
  <conditionalFormatting sqref="AD13">
    <cfRule type="cellIs" priority="24" dxfId="211" operator="lessThan" stopIfTrue="1">
      <formula>0.99*(AD14+AD15)</formula>
    </cfRule>
  </conditionalFormatting>
  <conditionalFormatting sqref="AF13">
    <cfRule type="cellIs" priority="23" dxfId="211" operator="lessThan" stopIfTrue="1">
      <formula>0.99*(AF14+AF15)</formula>
    </cfRule>
  </conditionalFormatting>
  <conditionalFormatting sqref="AH13">
    <cfRule type="cellIs" priority="22" dxfId="211" operator="lessThan" stopIfTrue="1">
      <formula>0.99*(AH14+AH15)</formula>
    </cfRule>
  </conditionalFormatting>
  <conditionalFormatting sqref="AJ13">
    <cfRule type="cellIs" priority="21" dxfId="211" operator="lessThan" stopIfTrue="1">
      <formula>0.99*(AJ14+AJ15)</formula>
    </cfRule>
  </conditionalFormatting>
  <conditionalFormatting sqref="AR13">
    <cfRule type="cellIs" priority="18" dxfId="211" operator="lessThan" stopIfTrue="1">
      <formula>0.99*(AR14+AR15)</formula>
    </cfRule>
  </conditionalFormatting>
  <conditionalFormatting sqref="AN13">
    <cfRule type="cellIs" priority="20" dxfId="211" operator="lessThan" stopIfTrue="1">
      <formula>0.99*(AN14+AN15)</formula>
    </cfRule>
  </conditionalFormatting>
  <conditionalFormatting sqref="AP13">
    <cfRule type="cellIs" priority="19" dxfId="211" operator="lessThan" stopIfTrue="1">
      <formula>0.99*(AP14+AP15)</formula>
    </cfRule>
  </conditionalFormatting>
  <conditionalFormatting sqref="AT13">
    <cfRule type="cellIs" priority="17" dxfId="211" operator="lessThan" stopIfTrue="1">
      <formula>0.99*(AT14+AT15)</formula>
    </cfRule>
  </conditionalFormatting>
  <conditionalFormatting sqref="AV13">
    <cfRule type="cellIs" priority="16" dxfId="211" operator="lessThan" stopIfTrue="1">
      <formula>0.99*(AV14+AV15)</formula>
    </cfRule>
  </conditionalFormatting>
  <conditionalFormatting sqref="BB13">
    <cfRule type="cellIs" priority="15" dxfId="211" operator="lessThan" stopIfTrue="1">
      <formula>0.99*(BB14+BB15)</formula>
    </cfRule>
  </conditionalFormatting>
  <conditionalFormatting sqref="AL10">
    <cfRule type="cellIs" priority="13" dxfId="211" operator="lessThan" stopIfTrue="1">
      <formula>AL8-AL9-(0.01*(AL8-AL9))</formula>
    </cfRule>
  </conditionalFormatting>
  <conditionalFormatting sqref="AL12">
    <cfRule type="cellIs" priority="14" dxfId="211" operator="lessThan" stopIfTrue="1">
      <formula>AL10+AL11-(0.01*(AL10+AL11))</formula>
    </cfRule>
  </conditionalFormatting>
  <conditionalFormatting sqref="AL13">
    <cfRule type="cellIs" priority="12" dxfId="211" operator="lessThan" stopIfTrue="1">
      <formula>0.99*(AL14+AL15)</formula>
    </cfRule>
  </conditionalFormatting>
  <conditionalFormatting sqref="BI32 BI35 BI38 BI29">
    <cfRule type="cellIs" priority="9" dxfId="211" operator="greaterThan" stopIfTrue="1">
      <formula>0</formula>
    </cfRule>
  </conditionalFormatting>
  <conditionalFormatting sqref="CU26 DC23 CW23 DC26 CW26 CS23 CU23 CQ26 CS26 CO23 CQ23 CM26 CO26 CK23 CM23 CI26 CK26 CG23 CI23 CE26 CG26 CC23 CE23 CA26 CC26 BK23 CA23 BW23 BW26 BY26 BY23 BI23 BI26 BK26 BM26:BN26 BP26 BR26 BT26:BU26 BM23:BN23 BP23 BR23 BT23:BU23">
    <cfRule type="cellIs" priority="11" dxfId="211" operator="equal" stopIfTrue="1">
      <formula>"&lt;&gt;"</formula>
    </cfRule>
  </conditionalFormatting>
  <conditionalFormatting sqref="BW8:BW16 BY8:BY16 CA8:CA16 CC8:CC16 CE8:CE16 CG8:CG16 CI8:CI16 CK8:CK16 CM8:CM16 CO8:CO16 CQ8:CQ16 CS8:CS16 CU8:CU16 CW8:CW16 BM8:BM16 BO8:BO16 BQ8:BQ16 BS8:BS16 BU8:BU16 DC8:DC16">
    <cfRule type="cellIs" priority="10" dxfId="211" operator="equal" stopIfTrue="1">
      <formula>"&gt; 25%"</formula>
    </cfRule>
  </conditionalFormatting>
  <conditionalFormatting sqref="AX10">
    <cfRule type="cellIs" priority="7" dxfId="211" operator="lessThan" stopIfTrue="1">
      <formula>AX8-AX9-(0.01*(AX8-AX9))</formula>
    </cfRule>
  </conditionalFormatting>
  <conditionalFormatting sqref="AX12">
    <cfRule type="cellIs" priority="8" dxfId="211" operator="lessThan" stopIfTrue="1">
      <formula>AX10+AX11-(0.01*(AX10+AX11))</formula>
    </cfRule>
  </conditionalFormatting>
  <conditionalFormatting sqref="AZ10">
    <cfRule type="cellIs" priority="5" dxfId="211" operator="lessThan" stopIfTrue="1">
      <formula>AZ8-AZ9-(0.01*(AZ8-AZ9))</formula>
    </cfRule>
  </conditionalFormatting>
  <conditionalFormatting sqref="AZ12">
    <cfRule type="cellIs" priority="6" dxfId="211" operator="lessThan" stopIfTrue="1">
      <formula>AZ10+AZ11-(0.01*(AZ10+AZ11))</formula>
    </cfRule>
  </conditionalFormatting>
  <conditionalFormatting sqref="AX13">
    <cfRule type="cellIs" priority="4" dxfId="211" operator="lessThan" stopIfTrue="1">
      <formula>0.99*(AX14+AX15)</formula>
    </cfRule>
  </conditionalFormatting>
  <conditionalFormatting sqref="AZ13">
    <cfRule type="cellIs" priority="3" dxfId="211" operator="lessThan" stopIfTrue="1">
      <formula>0.99*(AZ14+AZ15)</formula>
    </cfRule>
  </conditionalFormatting>
  <conditionalFormatting sqref="CY26 DA23 DA26 CY23">
    <cfRule type="cellIs" priority="2" dxfId="211" operator="equal" stopIfTrue="1">
      <formula>"&lt;&gt;"</formula>
    </cfRule>
  </conditionalFormatting>
  <conditionalFormatting sqref="CY8:CY16 DA8:DA16">
    <cfRule type="cellIs" priority="1" dxfId="211" operator="equal" stopIfTrue="1">
      <formula>"&gt; 25%"</formula>
    </cfRule>
  </conditionalFormatting>
  <printOptions horizontalCentered="1"/>
  <pageMargins left="0.56" right="0.4" top="0.65" bottom="1" header="0.43" footer="0.5"/>
  <pageSetup fitToHeight="0" fitToWidth="1" horizontalDpi="600" verticalDpi="600" orientation="landscape" paperSize="9" scale="54" r:id="rId4"/>
  <headerFooter alignWithMargins="0">
    <oddFooter>&amp;C&amp;"Arial,Regular"&amp;8UNSD/United Nations Environment Programme Questionnaire 2018 on Environment Statistics - Water Section - p.&amp;P</oddFooter>
  </headerFooter>
  <rowBreaks count="1" manualBreakCount="1">
    <brk id="32" min="2" max="45" man="1"/>
  </rowBreaks>
  <colBreaks count="1" manualBreakCount="1">
    <brk id="57"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O106"/>
  <sheetViews>
    <sheetView showGridLines="0" zoomScale="85" zoomScaleNormal="85" zoomScaleSheetLayoutView="40" zoomScalePageLayoutView="70" workbookViewId="0" topLeftCell="C1">
      <selection activeCell="C1" sqref="C1"/>
    </sheetView>
  </sheetViews>
  <sheetFormatPr defaultColWidth="9.33203125" defaultRowHeight="12.75"/>
  <cols>
    <col min="1" max="1" width="12.16015625" style="212" hidden="1" customWidth="1"/>
    <col min="2" max="2" width="12.16015625" style="181" hidden="1" customWidth="1"/>
    <col min="3" max="3" width="9.83203125" style="217" customWidth="1"/>
    <col min="4" max="4" width="43.5" style="217" customWidth="1"/>
    <col min="5" max="5" width="9.5" style="217" customWidth="1"/>
    <col min="6" max="6" width="8.5" style="217" customWidth="1"/>
    <col min="7" max="7" width="1.83203125" style="221" customWidth="1"/>
    <col min="8" max="8" width="7" style="222" customWidth="1"/>
    <col min="9" max="9" width="1.83203125" style="223" customWidth="1"/>
    <col min="10" max="10" width="7" style="222" customWidth="1"/>
    <col min="11" max="11" width="1.83203125" style="223" customWidth="1"/>
    <col min="12" max="12" width="7" style="222" customWidth="1"/>
    <col min="13" max="13" width="1.83203125" style="223" customWidth="1"/>
    <col min="14" max="14" width="7" style="222" customWidth="1"/>
    <col min="15" max="15" width="1.83203125" style="223" customWidth="1"/>
    <col min="16" max="16" width="7" style="222" customWidth="1"/>
    <col min="17" max="17" width="1.83203125" style="223" customWidth="1"/>
    <col min="18" max="18" width="7" style="222" customWidth="1"/>
    <col min="19" max="19" width="1.83203125" style="223" customWidth="1"/>
    <col min="20" max="20" width="7" style="222" customWidth="1"/>
    <col min="21" max="21" width="1.83203125" style="223" customWidth="1"/>
    <col min="22" max="22" width="7" style="222" customWidth="1"/>
    <col min="23" max="23" width="1.83203125" style="221" customWidth="1"/>
    <col min="24" max="24" width="7" style="222" customWidth="1"/>
    <col min="25" max="25" width="1.83203125" style="221" customWidth="1"/>
    <col min="26" max="26" width="7" style="222" customWidth="1"/>
    <col min="27" max="27" width="1.83203125" style="221" customWidth="1"/>
    <col min="28" max="28" width="7" style="222" customWidth="1"/>
    <col min="29" max="29" width="1.83203125" style="221" customWidth="1"/>
    <col min="30" max="30" width="7" style="222" customWidth="1"/>
    <col min="31" max="31" width="1.83203125" style="221" customWidth="1"/>
    <col min="32" max="32" width="7" style="222" customWidth="1"/>
    <col min="33" max="33" width="1.83203125" style="221" customWidth="1"/>
    <col min="34" max="34" width="7" style="222" customWidth="1"/>
    <col min="35" max="35" width="1.83203125" style="223" customWidth="1"/>
    <col min="36" max="36" width="7" style="222" customWidth="1"/>
    <col min="37" max="37" width="1.83203125" style="221" customWidth="1"/>
    <col min="38" max="38" width="7" style="222" customWidth="1"/>
    <col min="39" max="39" width="1.83203125" style="221" customWidth="1"/>
    <col min="40" max="40" width="7" style="222" customWidth="1"/>
    <col min="41" max="41" width="1.83203125" style="221" customWidth="1"/>
    <col min="42" max="42" width="7" style="221" customWidth="1"/>
    <col min="43" max="43" width="2" style="221" customWidth="1"/>
    <col min="44" max="44" width="7" style="221" customWidth="1"/>
    <col min="45" max="45" width="1.83203125" style="221" customWidth="1"/>
    <col min="46" max="46" width="7" style="222" customWidth="1"/>
    <col min="47" max="47" width="1.83203125" style="217" customWidth="1"/>
    <col min="48" max="48" width="7" style="221" customWidth="1"/>
    <col min="49" max="49" width="1.83203125" style="221" customWidth="1"/>
    <col min="50" max="50" width="7" style="222" customWidth="1"/>
    <col min="51" max="51" width="1.83203125" style="217" customWidth="1"/>
    <col min="52" max="52" width="7" style="222" customWidth="1"/>
    <col min="53" max="53" width="1.3359375" style="217" customWidth="1"/>
    <col min="54" max="54" width="2.33203125" style="502" customWidth="1"/>
    <col min="55" max="55" width="2.83203125" style="215" customWidth="1"/>
    <col min="56" max="56" width="3.5" style="215" customWidth="1"/>
    <col min="57" max="57" width="30.16015625" style="215" customWidth="1"/>
    <col min="58" max="58" width="7.5" style="215" customWidth="1"/>
    <col min="59" max="59" width="4.5" style="215" customWidth="1"/>
    <col min="60" max="60" width="1.5" style="215" customWidth="1"/>
    <col min="61" max="61" width="5.33203125" style="215" customWidth="1"/>
    <col min="62" max="62" width="1.171875" style="215" customWidth="1"/>
    <col min="63" max="63" width="5.33203125" style="215" customWidth="1"/>
    <col min="64" max="64" width="0.82421875" style="215" customWidth="1"/>
    <col min="65" max="65" width="5.33203125" style="215" customWidth="1"/>
    <col min="66" max="66" width="0.82421875" style="215" customWidth="1"/>
    <col min="67" max="67" width="5.33203125" style="215" customWidth="1"/>
    <col min="68" max="68" width="0.82421875" style="215" customWidth="1"/>
    <col min="69" max="69" width="5.33203125" style="215" customWidth="1"/>
    <col min="70" max="70" width="0.82421875" style="215" customWidth="1"/>
    <col min="71" max="71" width="5.33203125" style="215" customWidth="1"/>
    <col min="72" max="72" width="0.82421875" style="215" customWidth="1"/>
    <col min="73" max="73" width="5.33203125" style="215" customWidth="1"/>
    <col min="74" max="74" width="0.82421875" style="215" customWidth="1"/>
    <col min="75" max="75" width="5.33203125" style="215" customWidth="1"/>
    <col min="76" max="76" width="0.82421875" style="215" customWidth="1"/>
    <col min="77" max="77" width="5.33203125" style="215" customWidth="1"/>
    <col min="78" max="78" width="0.82421875" style="215" customWidth="1"/>
    <col min="79" max="79" width="5.33203125" style="215" customWidth="1"/>
    <col min="80" max="80" width="0.82421875" style="215" customWidth="1"/>
    <col min="81" max="81" width="5.33203125" style="215" customWidth="1"/>
    <col min="82" max="82" width="0.82421875" style="215" customWidth="1"/>
    <col min="83" max="83" width="5.33203125" style="215" customWidth="1"/>
    <col min="84" max="84" width="0.82421875" style="215" customWidth="1"/>
    <col min="85" max="85" width="5.33203125" style="215" customWidth="1"/>
    <col min="86" max="86" width="0.82421875" style="215" customWidth="1"/>
    <col min="87" max="87" width="5.33203125" style="215" customWidth="1"/>
    <col min="88" max="88" width="0.82421875" style="215" customWidth="1"/>
    <col min="89" max="89" width="5.33203125" style="215" customWidth="1"/>
    <col min="90" max="90" width="0.82421875" style="215" customWidth="1"/>
    <col min="91" max="91" width="5.33203125" style="215" customWidth="1"/>
    <col min="92" max="92" width="0.82421875" style="215" customWidth="1"/>
    <col min="93" max="93" width="5.33203125" style="215" customWidth="1"/>
    <col min="94" max="94" width="0.82421875" style="215" customWidth="1"/>
    <col min="95" max="95" width="5.33203125" style="215" customWidth="1"/>
    <col min="96" max="96" width="0.82421875" style="215" customWidth="1"/>
    <col min="97" max="97" width="5.33203125" style="215" customWidth="1"/>
    <col min="98" max="98" width="0.82421875" style="215" customWidth="1"/>
    <col min="99" max="99" width="5.33203125" style="215" customWidth="1"/>
    <col min="100" max="100" width="0.82421875" style="215" customWidth="1"/>
    <col min="101" max="101" width="5.33203125" style="215" customWidth="1"/>
    <col min="102" max="102" width="0.82421875" style="215" customWidth="1"/>
    <col min="103" max="103" width="5.33203125" style="215" customWidth="1"/>
    <col min="104" max="104" width="0.82421875" style="215" customWidth="1"/>
    <col min="105" max="105" width="5.16015625" style="215" customWidth="1"/>
    <col min="106" max="16384" width="9.33203125" style="217" customWidth="1"/>
  </cols>
  <sheetData>
    <row r="1" spans="2:105" ht="16.5" customHeight="1">
      <c r="B1" s="181">
        <v>0</v>
      </c>
      <c r="C1" s="182" t="s">
        <v>309</v>
      </c>
      <c r="D1" s="182"/>
      <c r="E1" s="327"/>
      <c r="F1" s="327"/>
      <c r="G1" s="328"/>
      <c r="H1" s="329"/>
      <c r="I1" s="330"/>
      <c r="J1" s="329"/>
      <c r="K1" s="330"/>
      <c r="L1" s="329"/>
      <c r="M1" s="330"/>
      <c r="N1" s="329"/>
      <c r="O1" s="330"/>
      <c r="P1" s="329"/>
      <c r="Q1" s="330"/>
      <c r="R1" s="329"/>
      <c r="S1" s="330"/>
      <c r="T1" s="329"/>
      <c r="U1" s="330"/>
      <c r="V1" s="329"/>
      <c r="W1" s="328"/>
      <c r="X1" s="329"/>
      <c r="Y1" s="328"/>
      <c r="Z1" s="329"/>
      <c r="AA1" s="328"/>
      <c r="AB1" s="329"/>
      <c r="AC1" s="328"/>
      <c r="AD1" s="329"/>
      <c r="AE1" s="328"/>
      <c r="AF1" s="329"/>
      <c r="AG1" s="328"/>
      <c r="AH1" s="329"/>
      <c r="AI1" s="330"/>
      <c r="AJ1" s="329"/>
      <c r="AK1" s="328"/>
      <c r="AL1" s="329"/>
      <c r="AM1" s="328"/>
      <c r="AN1" s="329"/>
      <c r="AO1" s="328"/>
      <c r="AP1" s="328"/>
      <c r="AQ1" s="328"/>
      <c r="AR1" s="328"/>
      <c r="AS1" s="328"/>
      <c r="AT1" s="329"/>
      <c r="AU1" s="331"/>
      <c r="AV1" s="328"/>
      <c r="AW1" s="328"/>
      <c r="AX1" s="329"/>
      <c r="AY1" s="331"/>
      <c r="AZ1" s="329"/>
      <c r="BA1" s="331"/>
      <c r="BD1" s="192" t="s">
        <v>84</v>
      </c>
      <c r="BE1" s="640"/>
      <c r="BF1" s="640"/>
      <c r="BG1" s="640"/>
      <c r="BH1" s="640"/>
      <c r="BI1" s="640"/>
      <c r="BJ1" s="640"/>
      <c r="BK1" s="640"/>
      <c r="BL1" s="640"/>
      <c r="BM1" s="640"/>
      <c r="BN1" s="640"/>
      <c r="BO1" s="640"/>
      <c r="BP1" s="640"/>
      <c r="BQ1" s="640"/>
      <c r="BR1" s="640"/>
      <c r="BS1" s="640"/>
      <c r="BT1" s="640"/>
      <c r="BU1" s="640"/>
      <c r="BV1" s="640"/>
      <c r="BW1" s="640"/>
      <c r="BX1" s="640"/>
      <c r="BY1" s="640"/>
      <c r="BZ1" s="640"/>
      <c r="CA1" s="640"/>
      <c r="CB1" s="640"/>
      <c r="CC1" s="640"/>
      <c r="CD1" s="640"/>
      <c r="CE1" s="640"/>
      <c r="CF1" s="640"/>
      <c r="CG1" s="640"/>
      <c r="CH1" s="640"/>
      <c r="CI1" s="640"/>
      <c r="CJ1" s="640"/>
      <c r="CK1" s="640"/>
      <c r="CL1" s="640"/>
      <c r="CM1" s="640"/>
      <c r="CN1" s="640"/>
      <c r="CO1" s="640"/>
      <c r="CP1" s="640"/>
      <c r="CQ1" s="640"/>
      <c r="CR1" s="640"/>
      <c r="CS1" s="640"/>
      <c r="CT1" s="640"/>
      <c r="CU1" s="640"/>
      <c r="CV1" s="640"/>
      <c r="CW1" s="640"/>
      <c r="CX1" s="640"/>
      <c r="CY1" s="640"/>
      <c r="CZ1" s="640"/>
      <c r="DA1" s="640"/>
    </row>
    <row r="2" spans="5:105" ht="6" customHeight="1">
      <c r="E2" s="332"/>
      <c r="F2" s="332"/>
      <c r="G2" s="333"/>
      <c r="H2" s="334"/>
      <c r="I2" s="335"/>
      <c r="J2" s="334"/>
      <c r="K2" s="335"/>
      <c r="L2" s="334"/>
      <c r="M2" s="335"/>
      <c r="N2" s="334"/>
      <c r="O2" s="335"/>
      <c r="P2" s="334"/>
      <c r="Q2" s="335"/>
      <c r="R2" s="334"/>
      <c r="S2" s="335"/>
      <c r="T2" s="334"/>
      <c r="U2" s="335"/>
      <c r="V2" s="334"/>
      <c r="W2" s="336"/>
      <c r="BD2" s="640"/>
      <c r="BE2" s="640"/>
      <c r="BF2" s="640"/>
      <c r="BG2" s="640"/>
      <c r="BH2" s="640"/>
      <c r="BI2" s="640"/>
      <c r="BJ2" s="640"/>
      <c r="BK2" s="640"/>
      <c r="BL2" s="640"/>
      <c r="BM2" s="640"/>
      <c r="BN2" s="640"/>
      <c r="BO2" s="640"/>
      <c r="BP2" s="640"/>
      <c r="BQ2" s="640"/>
      <c r="BR2" s="640"/>
      <c r="BS2" s="640"/>
      <c r="BT2" s="640"/>
      <c r="BU2" s="640"/>
      <c r="BV2" s="640"/>
      <c r="BW2" s="640"/>
      <c r="BX2" s="640"/>
      <c r="BY2" s="640"/>
      <c r="BZ2" s="640"/>
      <c r="CA2" s="640"/>
      <c r="CB2" s="640"/>
      <c r="CC2" s="640"/>
      <c r="CD2" s="640"/>
      <c r="CE2" s="640"/>
      <c r="CF2" s="640"/>
      <c r="CG2" s="640"/>
      <c r="CH2" s="640"/>
      <c r="CI2" s="640"/>
      <c r="CJ2" s="640"/>
      <c r="CK2" s="640"/>
      <c r="CL2" s="640"/>
      <c r="CM2" s="640"/>
      <c r="CN2" s="640"/>
      <c r="CO2" s="640"/>
      <c r="CP2" s="640"/>
      <c r="CQ2" s="640"/>
      <c r="CR2" s="640"/>
      <c r="CS2" s="640"/>
      <c r="CT2" s="640"/>
      <c r="CU2" s="640"/>
      <c r="CV2" s="640"/>
      <c r="CW2" s="640"/>
      <c r="CX2" s="640"/>
      <c r="CY2" s="640"/>
      <c r="CZ2" s="640"/>
      <c r="DA2" s="640"/>
    </row>
    <row r="3" spans="1:107" s="353" customFormat="1" ht="17.25" customHeight="1">
      <c r="A3" s="280"/>
      <c r="B3" s="280">
        <v>894</v>
      </c>
      <c r="C3" s="337" t="s">
        <v>311</v>
      </c>
      <c r="D3" s="582" t="s">
        <v>498</v>
      </c>
      <c r="E3" s="422"/>
      <c r="F3" s="423"/>
      <c r="G3" s="424"/>
      <c r="H3" s="425"/>
      <c r="I3" s="426"/>
      <c r="J3" s="425"/>
      <c r="K3" s="426"/>
      <c r="L3" s="425"/>
      <c r="M3" s="426"/>
      <c r="N3" s="425"/>
      <c r="O3" s="426"/>
      <c r="P3" s="425"/>
      <c r="Q3" s="426"/>
      <c r="R3" s="425"/>
      <c r="S3" s="426"/>
      <c r="T3" s="425"/>
      <c r="U3" s="426"/>
      <c r="V3" s="425"/>
      <c r="W3" s="424"/>
      <c r="X3" s="425"/>
      <c r="Y3" s="427"/>
      <c r="Z3" s="108"/>
      <c r="AA3" s="427"/>
      <c r="AB3" s="55"/>
      <c r="AC3" s="337" t="s">
        <v>303</v>
      </c>
      <c r="AD3" s="339"/>
      <c r="AE3" s="338"/>
      <c r="AF3" s="339"/>
      <c r="AG3" s="340"/>
      <c r="AH3" s="425"/>
      <c r="AI3" s="424"/>
      <c r="AJ3" s="425"/>
      <c r="AK3" s="424"/>
      <c r="AL3" s="425"/>
      <c r="AM3" s="424"/>
      <c r="AN3" s="425"/>
      <c r="AO3" s="428"/>
      <c r="AP3" s="428"/>
      <c r="AQ3" s="428"/>
      <c r="AR3" s="428"/>
      <c r="AS3" s="428"/>
      <c r="AT3" s="429"/>
      <c r="AU3" s="429"/>
      <c r="AV3" s="428"/>
      <c r="AW3" s="428"/>
      <c r="AX3" s="429"/>
      <c r="AY3" s="429"/>
      <c r="AZ3" s="429"/>
      <c r="BA3" s="429"/>
      <c r="BB3" s="676"/>
      <c r="BC3" s="343"/>
      <c r="BD3" s="344" t="s">
        <v>51</v>
      </c>
      <c r="BE3" s="345"/>
      <c r="BF3" s="346"/>
      <c r="BG3" s="347"/>
      <c r="BH3" s="347"/>
      <c r="BI3" s="348"/>
      <c r="BJ3" s="348"/>
      <c r="BK3" s="348"/>
      <c r="BL3" s="348"/>
      <c r="BM3" s="348"/>
      <c r="BN3" s="348"/>
      <c r="BO3" s="348"/>
      <c r="BP3" s="348"/>
      <c r="BQ3" s="348"/>
      <c r="BR3" s="348"/>
      <c r="BS3" s="349"/>
      <c r="BT3" s="349"/>
      <c r="BU3" s="349"/>
      <c r="BV3" s="349"/>
      <c r="BW3" s="349"/>
      <c r="BX3" s="349"/>
      <c r="BY3" s="350"/>
      <c r="BZ3" s="350"/>
      <c r="CA3" s="346"/>
      <c r="CB3" s="346"/>
      <c r="CC3" s="346"/>
      <c r="CD3" s="346"/>
      <c r="CE3" s="346"/>
      <c r="CF3" s="346"/>
      <c r="CG3" s="350"/>
      <c r="CH3" s="350"/>
      <c r="CI3" s="346"/>
      <c r="CJ3" s="346"/>
      <c r="CK3" s="346"/>
      <c r="CL3" s="346"/>
      <c r="CM3" s="346"/>
      <c r="CN3" s="346"/>
      <c r="CO3" s="346"/>
      <c r="CP3" s="346"/>
      <c r="CQ3" s="346"/>
      <c r="CR3" s="346"/>
      <c r="CS3" s="346"/>
      <c r="CT3" s="346"/>
      <c r="CU3" s="346"/>
      <c r="CV3" s="346"/>
      <c r="CW3" s="346"/>
      <c r="CX3" s="346"/>
      <c r="CY3" s="346"/>
      <c r="CZ3" s="346"/>
      <c r="DA3" s="346"/>
      <c r="DB3" s="352"/>
      <c r="DC3" s="352"/>
    </row>
    <row r="4" spans="5:105" ht="3" customHeight="1">
      <c r="E4" s="354"/>
      <c r="F4" s="354"/>
      <c r="Z4" s="341"/>
      <c r="AA4" s="336"/>
      <c r="AB4" s="341"/>
      <c r="AK4" s="333"/>
      <c r="AL4" s="334"/>
      <c r="BD4" s="318"/>
      <c r="BE4" s="318"/>
      <c r="BF4" s="640"/>
      <c r="BG4" s="640"/>
      <c r="BH4" s="640"/>
      <c r="BI4" s="640"/>
      <c r="BJ4" s="640"/>
      <c r="BK4" s="640"/>
      <c r="BL4" s="640"/>
      <c r="BM4" s="640"/>
      <c r="BN4" s="640"/>
      <c r="BO4" s="640"/>
      <c r="BP4" s="640"/>
      <c r="BQ4" s="640"/>
      <c r="BR4" s="640"/>
      <c r="BS4" s="640"/>
      <c r="BT4" s="640"/>
      <c r="BU4" s="640"/>
      <c r="BV4" s="640"/>
      <c r="BW4" s="640"/>
      <c r="BX4" s="640"/>
      <c r="BY4" s="640"/>
      <c r="BZ4" s="640"/>
      <c r="CA4" s="640"/>
      <c r="CB4" s="640"/>
      <c r="CC4" s="640"/>
      <c r="CD4" s="640"/>
      <c r="CE4" s="640"/>
      <c r="CF4" s="640"/>
      <c r="CG4" s="640"/>
      <c r="CH4" s="640"/>
      <c r="CI4" s="640"/>
      <c r="CJ4" s="640"/>
      <c r="CK4" s="640"/>
      <c r="CL4" s="640"/>
      <c r="CM4" s="640"/>
      <c r="CN4" s="640"/>
      <c r="CO4" s="640"/>
      <c r="CP4" s="640"/>
      <c r="CQ4" s="640"/>
      <c r="CR4" s="640"/>
      <c r="CS4" s="640"/>
      <c r="CT4" s="640"/>
      <c r="CU4" s="640"/>
      <c r="CV4" s="640"/>
      <c r="CW4" s="640"/>
      <c r="CX4" s="640"/>
      <c r="CY4" s="640"/>
      <c r="CZ4" s="640"/>
      <c r="DA4" s="640"/>
    </row>
    <row r="5" spans="2:105" ht="17.25" customHeight="1">
      <c r="B5" s="231">
        <v>23</v>
      </c>
      <c r="C5" s="825" t="s">
        <v>89</v>
      </c>
      <c r="D5" s="825"/>
      <c r="E5" s="826"/>
      <c r="F5" s="826"/>
      <c r="G5" s="826"/>
      <c r="H5" s="827"/>
      <c r="I5" s="827"/>
      <c r="J5" s="827"/>
      <c r="K5" s="827"/>
      <c r="L5" s="827"/>
      <c r="M5" s="827"/>
      <c r="N5" s="827"/>
      <c r="O5" s="827"/>
      <c r="P5" s="827"/>
      <c r="Q5" s="827"/>
      <c r="R5" s="827"/>
      <c r="S5" s="827"/>
      <c r="T5" s="827"/>
      <c r="U5" s="827"/>
      <c r="V5" s="827"/>
      <c r="W5" s="826"/>
      <c r="X5" s="827"/>
      <c r="Y5" s="826"/>
      <c r="Z5" s="827"/>
      <c r="AA5" s="826"/>
      <c r="AB5" s="827"/>
      <c r="AC5" s="826"/>
      <c r="AD5" s="827"/>
      <c r="AE5" s="826"/>
      <c r="AF5" s="827"/>
      <c r="AG5" s="826"/>
      <c r="AH5" s="827"/>
      <c r="AI5" s="827"/>
      <c r="AJ5" s="827"/>
      <c r="AK5" s="826"/>
      <c r="AL5" s="827"/>
      <c r="AM5" s="826"/>
      <c r="AN5" s="355"/>
      <c r="AO5" s="356"/>
      <c r="AP5" s="356"/>
      <c r="AQ5" s="356"/>
      <c r="AR5" s="356"/>
      <c r="AS5" s="356"/>
      <c r="AT5" s="355"/>
      <c r="AU5" s="303"/>
      <c r="AV5" s="356"/>
      <c r="AW5" s="356"/>
      <c r="AX5" s="355"/>
      <c r="AY5" s="303"/>
      <c r="AZ5" s="355"/>
      <c r="BA5" s="303"/>
      <c r="BD5" s="357" t="s">
        <v>52</v>
      </c>
      <c r="BE5" s="318"/>
      <c r="BF5" s="640"/>
      <c r="BG5" s="640"/>
      <c r="BH5" s="640"/>
      <c r="BI5" s="640"/>
      <c r="BJ5" s="640"/>
      <c r="BK5" s="640"/>
      <c r="BL5" s="640"/>
      <c r="BM5" s="640"/>
      <c r="BN5" s="640"/>
      <c r="BO5" s="640"/>
      <c r="BP5" s="640"/>
      <c r="BQ5" s="640"/>
      <c r="BR5" s="640"/>
      <c r="BS5" s="640"/>
      <c r="BT5" s="640"/>
      <c r="BU5" s="640"/>
      <c r="BV5" s="640"/>
      <c r="BW5" s="640"/>
      <c r="BX5" s="640"/>
      <c r="BY5" s="640"/>
      <c r="BZ5" s="640"/>
      <c r="CA5" s="640"/>
      <c r="CB5" s="640"/>
      <c r="CC5" s="640"/>
      <c r="CD5" s="640"/>
      <c r="CE5" s="640"/>
      <c r="CF5" s="640"/>
      <c r="CG5" s="640"/>
      <c r="CH5" s="640"/>
      <c r="CI5" s="640"/>
      <c r="CJ5" s="640"/>
      <c r="CK5" s="640"/>
      <c r="CL5" s="640"/>
      <c r="CM5" s="640"/>
      <c r="CN5" s="640"/>
      <c r="CO5" s="640"/>
      <c r="CP5" s="640"/>
      <c r="CQ5" s="640"/>
      <c r="CR5" s="640"/>
      <c r="CS5" s="640"/>
      <c r="CT5" s="640"/>
      <c r="CU5" s="640"/>
      <c r="CV5" s="640"/>
      <c r="CW5" s="640"/>
      <c r="CX5" s="640"/>
      <c r="CY5" s="640"/>
      <c r="CZ5" s="640"/>
      <c r="DA5" s="640"/>
    </row>
    <row r="6" spans="5:105" ht="14.25" customHeight="1">
      <c r="E6" s="220"/>
      <c r="F6" s="679" t="s">
        <v>508</v>
      </c>
      <c r="Z6" s="597"/>
      <c r="AA6" s="358"/>
      <c r="AB6" s="359"/>
      <c r="AC6" s="360"/>
      <c r="AD6" s="359"/>
      <c r="AE6" s="360"/>
      <c r="AF6" s="359"/>
      <c r="AG6" s="361"/>
      <c r="AH6" s="359"/>
      <c r="AJ6" s="359"/>
      <c r="AK6" s="360"/>
      <c r="AL6" s="359"/>
      <c r="AN6" s="359"/>
      <c r="AO6" s="362"/>
      <c r="AP6" s="362"/>
      <c r="AQ6" s="362"/>
      <c r="AR6" s="362"/>
      <c r="AS6" s="362"/>
      <c r="AT6" s="319"/>
      <c r="AU6" s="363"/>
      <c r="AV6" s="362"/>
      <c r="AW6" s="362"/>
      <c r="AX6" s="319"/>
      <c r="AY6" s="363"/>
      <c r="AZ6" s="319"/>
      <c r="BB6" s="624"/>
      <c r="BD6" s="364" t="s">
        <v>530</v>
      </c>
      <c r="BE6" s="318"/>
      <c r="BF6" s="640"/>
      <c r="BG6" s="640"/>
      <c r="BH6" s="640"/>
      <c r="BI6" s="640"/>
      <c r="BJ6" s="640"/>
      <c r="BK6" s="640"/>
      <c r="BL6" s="640"/>
      <c r="BM6" s="640"/>
      <c r="BN6" s="640"/>
      <c r="BO6" s="640"/>
      <c r="BP6" s="640"/>
      <c r="BQ6" s="640"/>
      <c r="BR6" s="640"/>
      <c r="BS6" s="640"/>
      <c r="BT6" s="640"/>
      <c r="BU6" s="640"/>
      <c r="BV6" s="640"/>
      <c r="BW6" s="640"/>
      <c r="BX6" s="640"/>
      <c r="BY6" s="640"/>
      <c r="BZ6" s="640"/>
      <c r="CA6" s="640"/>
      <c r="CB6" s="640"/>
      <c r="CC6" s="640"/>
      <c r="CD6" s="640"/>
      <c r="CE6" s="640"/>
      <c r="CF6" s="640"/>
      <c r="CG6" s="640"/>
      <c r="CH6" s="640"/>
      <c r="CI6" s="640"/>
      <c r="CJ6" s="640"/>
      <c r="CK6" s="640"/>
      <c r="CL6" s="640"/>
      <c r="CM6" s="640"/>
      <c r="CN6" s="640"/>
      <c r="CO6" s="640"/>
      <c r="CP6" s="640"/>
      <c r="CQ6" s="640"/>
      <c r="CR6" s="640"/>
      <c r="CS6" s="640"/>
      <c r="CT6" s="640"/>
      <c r="CU6" s="640"/>
      <c r="CV6" s="640"/>
      <c r="CW6" s="640"/>
      <c r="CX6" s="640"/>
      <c r="CY6" s="640"/>
      <c r="CZ6" s="640"/>
      <c r="DA6" s="640"/>
    </row>
    <row r="7" spans="1:105" s="235" customFormat="1" ht="21.75" customHeight="1">
      <c r="A7" s="230"/>
      <c r="B7" s="231">
        <v>2</v>
      </c>
      <c r="C7" s="233" t="s">
        <v>301</v>
      </c>
      <c r="D7" s="233" t="s">
        <v>302</v>
      </c>
      <c r="E7" s="233" t="s">
        <v>305</v>
      </c>
      <c r="F7" s="232">
        <v>1990</v>
      </c>
      <c r="G7" s="234"/>
      <c r="H7" s="233">
        <v>1995</v>
      </c>
      <c r="I7" s="234"/>
      <c r="J7" s="233">
        <v>1996</v>
      </c>
      <c r="K7" s="234"/>
      <c r="L7" s="233">
        <v>1997</v>
      </c>
      <c r="M7" s="234"/>
      <c r="N7" s="233">
        <v>1998</v>
      </c>
      <c r="O7" s="234"/>
      <c r="P7" s="233">
        <v>1999</v>
      </c>
      <c r="Q7" s="234"/>
      <c r="R7" s="233">
        <v>2000</v>
      </c>
      <c r="S7" s="234"/>
      <c r="T7" s="233">
        <v>2001</v>
      </c>
      <c r="U7" s="234"/>
      <c r="V7" s="233">
        <v>2002</v>
      </c>
      <c r="W7" s="234"/>
      <c r="X7" s="233">
        <v>2003</v>
      </c>
      <c r="Y7" s="234"/>
      <c r="Z7" s="233">
        <v>2004</v>
      </c>
      <c r="AA7" s="234"/>
      <c r="AB7" s="233">
        <v>2005</v>
      </c>
      <c r="AC7" s="234"/>
      <c r="AD7" s="233">
        <v>2006</v>
      </c>
      <c r="AE7" s="234"/>
      <c r="AF7" s="233">
        <v>2007</v>
      </c>
      <c r="AG7" s="234"/>
      <c r="AH7" s="233">
        <v>2008</v>
      </c>
      <c r="AI7" s="234"/>
      <c r="AJ7" s="233">
        <v>2009</v>
      </c>
      <c r="AK7" s="233"/>
      <c r="AL7" s="233">
        <v>2010</v>
      </c>
      <c r="AM7" s="233"/>
      <c r="AN7" s="233">
        <v>2011</v>
      </c>
      <c r="AO7" s="234"/>
      <c r="AP7" s="233">
        <v>2012</v>
      </c>
      <c r="AQ7" s="233"/>
      <c r="AR7" s="233">
        <v>2013</v>
      </c>
      <c r="AS7" s="233"/>
      <c r="AT7" s="233">
        <v>2014</v>
      </c>
      <c r="AU7" s="234"/>
      <c r="AV7" s="233">
        <v>2015</v>
      </c>
      <c r="AW7" s="233"/>
      <c r="AX7" s="233">
        <v>2016</v>
      </c>
      <c r="AY7" s="234"/>
      <c r="AZ7" s="233">
        <v>2017</v>
      </c>
      <c r="BA7" s="234"/>
      <c r="BB7" s="673"/>
      <c r="BC7" s="230"/>
      <c r="BD7" s="233" t="s">
        <v>301</v>
      </c>
      <c r="BE7" s="233" t="s">
        <v>302</v>
      </c>
      <c r="BF7" s="233" t="s">
        <v>305</v>
      </c>
      <c r="BG7" s="232">
        <v>1990</v>
      </c>
      <c r="BH7" s="232"/>
      <c r="BI7" s="233">
        <v>1995</v>
      </c>
      <c r="BJ7" s="233"/>
      <c r="BK7" s="233">
        <v>1996</v>
      </c>
      <c r="BL7" s="233"/>
      <c r="BM7" s="233">
        <v>1997</v>
      </c>
      <c r="BN7" s="233"/>
      <c r="BO7" s="233">
        <v>1998</v>
      </c>
      <c r="BP7" s="233"/>
      <c r="BQ7" s="233">
        <v>1999</v>
      </c>
      <c r="BR7" s="233"/>
      <c r="BS7" s="233">
        <v>2000</v>
      </c>
      <c r="BT7" s="233"/>
      <c r="BU7" s="233">
        <v>2001</v>
      </c>
      <c r="BV7" s="233"/>
      <c r="BW7" s="233">
        <v>2002</v>
      </c>
      <c r="BX7" s="233"/>
      <c r="BY7" s="233">
        <v>2003</v>
      </c>
      <c r="BZ7" s="233"/>
      <c r="CA7" s="233">
        <v>2004</v>
      </c>
      <c r="CB7" s="233"/>
      <c r="CC7" s="233">
        <v>2005</v>
      </c>
      <c r="CD7" s="233"/>
      <c r="CE7" s="233">
        <v>2006</v>
      </c>
      <c r="CF7" s="233"/>
      <c r="CG7" s="233">
        <v>2007</v>
      </c>
      <c r="CH7" s="233"/>
      <c r="CI7" s="233">
        <v>2008</v>
      </c>
      <c r="CJ7" s="233"/>
      <c r="CK7" s="233">
        <v>2009</v>
      </c>
      <c r="CL7" s="233"/>
      <c r="CM7" s="233">
        <v>2010</v>
      </c>
      <c r="CN7" s="233"/>
      <c r="CO7" s="233">
        <v>2011</v>
      </c>
      <c r="CP7" s="233"/>
      <c r="CQ7" s="233">
        <v>2012</v>
      </c>
      <c r="CR7" s="233"/>
      <c r="CS7" s="233">
        <v>2013</v>
      </c>
      <c r="CT7" s="233"/>
      <c r="CU7" s="233">
        <v>2014</v>
      </c>
      <c r="CV7" s="233"/>
      <c r="CW7" s="233">
        <v>2015</v>
      </c>
      <c r="CX7" s="233"/>
      <c r="CY7" s="233">
        <v>2016</v>
      </c>
      <c r="CZ7" s="233"/>
      <c r="DA7" s="233">
        <v>2017</v>
      </c>
    </row>
    <row r="8" spans="1:105" s="367" customFormat="1" ht="15" customHeight="1">
      <c r="A8" s="230"/>
      <c r="B8" s="365">
        <v>24</v>
      </c>
      <c r="C8" s="240">
        <v>1</v>
      </c>
      <c r="D8" s="366" t="s">
        <v>123</v>
      </c>
      <c r="E8" s="240" t="s">
        <v>313</v>
      </c>
      <c r="F8" s="575"/>
      <c r="G8" s="588"/>
      <c r="H8" s="575">
        <v>2144</v>
      </c>
      <c r="I8" s="588"/>
      <c r="J8" s="575"/>
      <c r="K8" s="588"/>
      <c r="L8" s="575"/>
      <c r="M8" s="588"/>
      <c r="N8" s="575"/>
      <c r="O8" s="588"/>
      <c r="P8" s="575"/>
      <c r="Q8" s="588"/>
      <c r="R8" s="575"/>
      <c r="S8" s="588"/>
      <c r="T8" s="575"/>
      <c r="U8" s="588"/>
      <c r="V8" s="575"/>
      <c r="W8" s="588"/>
      <c r="X8" s="575"/>
      <c r="Y8" s="588"/>
      <c r="Z8" s="575"/>
      <c r="AA8" s="588"/>
      <c r="AB8" s="575"/>
      <c r="AC8" s="588"/>
      <c r="AD8" s="575"/>
      <c r="AE8" s="588"/>
      <c r="AF8" s="575"/>
      <c r="AG8" s="588"/>
      <c r="AH8" s="575"/>
      <c r="AI8" s="588"/>
      <c r="AJ8" s="575"/>
      <c r="AK8" s="588"/>
      <c r="AL8" s="575"/>
      <c r="AM8" s="588"/>
      <c r="AN8" s="575"/>
      <c r="AO8" s="588"/>
      <c r="AP8" s="575"/>
      <c r="AQ8" s="588"/>
      <c r="AR8" s="575"/>
      <c r="AS8" s="588"/>
      <c r="AT8" s="575"/>
      <c r="AU8" s="588"/>
      <c r="AV8" s="575"/>
      <c r="AW8" s="588"/>
      <c r="AX8" s="575">
        <v>2284.486</v>
      </c>
      <c r="AY8" s="588"/>
      <c r="AZ8" s="575"/>
      <c r="BA8" s="588"/>
      <c r="BB8" s="673"/>
      <c r="BC8" s="368"/>
      <c r="BD8" s="642">
        <v>1</v>
      </c>
      <c r="BE8" s="293" t="s">
        <v>123</v>
      </c>
      <c r="BF8" s="97" t="s">
        <v>81</v>
      </c>
      <c r="BG8" s="80" t="s">
        <v>85</v>
      </c>
      <c r="BH8" s="606"/>
      <c r="BI8" s="80" t="str">
        <f>IF(OR(ISBLANK(F8),ISBLANK(H8)),"N/A",IF(ABS((H8-F8)/F8)&gt;1,"&gt; 100%","ok"))</f>
        <v>N/A</v>
      </c>
      <c r="BJ8" s="606"/>
      <c r="BK8" s="80" t="str">
        <f>IF(OR(ISBLANK(H8),ISBLANK(J8)),"N/A",IF(ABS((J8-H8)/H8)&gt;0.25,"&gt; 25%","ok"))</f>
        <v>N/A</v>
      </c>
      <c r="BL8" s="80"/>
      <c r="BM8" s="80" t="str">
        <f>IF(OR(ISBLANK(J8),ISBLANK(L8)),"N/A",IF(ABS((L8-J8)/J8)&gt;0.25,"&gt; 25%","ok"))</f>
        <v>N/A</v>
      </c>
      <c r="BN8" s="80"/>
      <c r="BO8" s="80" t="str">
        <f>IF(OR(ISBLANK(L8),ISBLANK(N8)),"N/A",IF(ABS((N8-L8)/L8)&gt;0.25,"&gt; 25%","ok"))</f>
        <v>N/A</v>
      </c>
      <c r="BP8" s="80"/>
      <c r="BQ8" s="80" t="str">
        <f>IF(OR(ISBLANK(N8),ISBLANK(P8)),"N/A",IF(ABS((P8-N8)/N8)&gt;0.25,"&gt; 25%","ok"))</f>
        <v>N/A</v>
      </c>
      <c r="BR8" s="80"/>
      <c r="BS8" s="80" t="str">
        <f>IF(OR(ISBLANK(P8),ISBLANK(R8)),"N/A",IF(ABS((R8-P8)/P8)&gt;0.25,"&gt; 25%","ok"))</f>
        <v>N/A</v>
      </c>
      <c r="BT8" s="80"/>
      <c r="BU8" s="80" t="str">
        <f>IF(OR(ISBLANK(R8),ISBLANK(T8)),"N/A",IF(ABS((T8-R8)/R8)&gt;0.25,"&gt; 25%","ok"))</f>
        <v>N/A</v>
      </c>
      <c r="BV8" s="80"/>
      <c r="BW8" s="80" t="str">
        <f>IF(OR(ISBLANK(T8),ISBLANK(V8)),"N/A",IF(ABS((V8-T8)/T8)&gt;0.25,"&gt; 25%","ok"))</f>
        <v>N/A</v>
      </c>
      <c r="BX8" s="80"/>
      <c r="BY8" s="80" t="str">
        <f>IF(OR(ISBLANK(V8),ISBLANK(X8)),"N/A",IF(ABS((X8-V8)/V8)&gt;0.25,"&gt; 25%","ok"))</f>
        <v>N/A</v>
      </c>
      <c r="BZ8" s="80"/>
      <c r="CA8" s="80" t="str">
        <f>IF(OR(ISBLANK(X8),ISBLANK(Z8)),"N/A",IF(ABS((Z8-X8)/X8)&gt;0.25,"&gt; 25%","ok"))</f>
        <v>N/A</v>
      </c>
      <c r="CB8" s="80"/>
      <c r="CC8" s="80" t="str">
        <f>IF(OR(ISBLANK(Z8),ISBLANK(AB8)),"N/A",IF(ABS((AB8-Z8)/Z8)&gt;0.25,"&gt; 25%","ok"))</f>
        <v>N/A</v>
      </c>
      <c r="CD8" s="80"/>
      <c r="CE8" s="80" t="str">
        <f>IF(OR(ISBLANK(AB8),ISBLANK(AD8)),"N/A",IF(ABS((AD8-AB8)/AB8)&gt;0.25,"&gt; 25%","ok"))</f>
        <v>N/A</v>
      </c>
      <c r="CF8" s="80"/>
      <c r="CG8" s="80" t="str">
        <f>IF(OR(ISBLANK(AD8),ISBLANK(AF8)),"N/A",IF(ABS((AF8-AD8)/AD8)&gt;0.25,"&gt; 25%","ok"))</f>
        <v>N/A</v>
      </c>
      <c r="CH8" s="80"/>
      <c r="CI8" s="80" t="str">
        <f>IF(OR(ISBLANK(AF8),ISBLANK(AH8)),"N/A",IF(ABS((AH8-AF8)/AF8)&gt;0.25,"&gt; 25%","ok"))</f>
        <v>N/A</v>
      </c>
      <c r="CJ8" s="80"/>
      <c r="CK8" s="80" t="str">
        <f>IF(OR(ISBLANK(AH8),ISBLANK(AJ8)),"N/A",IF(ABS((AJ8-AH8)/AH8)&gt;0.25,"&gt; 25%","ok"))</f>
        <v>N/A</v>
      </c>
      <c r="CL8" s="80"/>
      <c r="CM8" s="80" t="str">
        <f>IF(OR(ISBLANK(AJ8),ISBLANK(AL8)),"N/A",IF(ABS((AL8-AJ8)/AJ8)&gt;0.25,"&gt; 25%","ok"))</f>
        <v>N/A</v>
      </c>
      <c r="CN8" s="80"/>
      <c r="CO8" s="80" t="str">
        <f>IF(OR(ISBLANK(AL8),ISBLANK(AN8)),"N/A",IF(ABS((AN8-AL8)/AL8)&gt;0.25,"&gt; 25%","ok"))</f>
        <v>N/A</v>
      </c>
      <c r="CP8" s="80"/>
      <c r="CQ8" s="80" t="str">
        <f>IF(OR(ISBLANK(AN8),ISBLANK(AP8)),"N/A",IF(ABS((AP8-AN8)/AN8)&gt;0.25,"&gt; 25%","ok"))</f>
        <v>N/A</v>
      </c>
      <c r="CR8" s="80"/>
      <c r="CS8" s="80" t="str">
        <f>IF(OR(ISBLANK(AP8),ISBLANK(AR8)),"N/A",IF(ABS((AR8-AP8)/AP8)&gt;0.25,"&gt; 25%","ok"))</f>
        <v>N/A</v>
      </c>
      <c r="CT8" s="80"/>
      <c r="CU8" s="80" t="str">
        <f>IF(OR(ISBLANK(AR8),ISBLANK(AT8)),"N/A",IF(ABS((AT8-AR8)/AR8)&gt;0.25,"&gt; 25%","ok"))</f>
        <v>N/A</v>
      </c>
      <c r="CV8" s="80"/>
      <c r="CW8" s="80" t="str">
        <f>IF(OR(ISBLANK(AT8),ISBLANK(AV8)),"N/A",IF(ABS((AV8-AT8)/AT8)&gt;0.25,"&gt; 25%","ok"))</f>
        <v>N/A</v>
      </c>
      <c r="CX8" s="80"/>
      <c r="CY8" s="80" t="str">
        <f>IF(OR(ISBLANK(AV8),ISBLANK(AX8)),"N/A",IF(ABS((AX8-AV8)/AV8)&gt;0.25,"&gt; 25%","ok"))</f>
        <v>N/A</v>
      </c>
      <c r="CZ8" s="80"/>
      <c r="DA8" s="80" t="str">
        <f>IF(OR(ISBLANK(AX8),ISBLANK(AZ8)),"N/A",IF(ABS((AZ8-AX8)/AX8)&gt;0.25,"&gt; 25%","ok"))</f>
        <v>N/A</v>
      </c>
    </row>
    <row r="9" spans="1:105" s="367" customFormat="1" ht="15" customHeight="1">
      <c r="A9" s="230"/>
      <c r="B9" s="365">
        <v>25</v>
      </c>
      <c r="C9" s="255">
        <v>2</v>
      </c>
      <c r="D9" s="366" t="s">
        <v>124</v>
      </c>
      <c r="E9" s="255" t="s">
        <v>313</v>
      </c>
      <c r="F9" s="575"/>
      <c r="G9" s="588"/>
      <c r="H9" s="575">
        <v>286.5</v>
      </c>
      <c r="I9" s="588"/>
      <c r="J9" s="575"/>
      <c r="K9" s="588"/>
      <c r="L9" s="575"/>
      <c r="M9" s="588"/>
      <c r="N9" s="575"/>
      <c r="O9" s="588"/>
      <c r="P9" s="575"/>
      <c r="Q9" s="588"/>
      <c r="R9" s="575"/>
      <c r="S9" s="588"/>
      <c r="T9" s="575"/>
      <c r="U9" s="588"/>
      <c r="V9" s="575"/>
      <c r="W9" s="588"/>
      <c r="X9" s="575"/>
      <c r="Y9" s="588"/>
      <c r="Z9" s="575"/>
      <c r="AA9" s="588"/>
      <c r="AB9" s="575"/>
      <c r="AC9" s="588"/>
      <c r="AD9" s="575"/>
      <c r="AE9" s="588"/>
      <c r="AF9" s="575"/>
      <c r="AG9" s="588"/>
      <c r="AH9" s="575"/>
      <c r="AI9" s="588"/>
      <c r="AJ9" s="575"/>
      <c r="AK9" s="588"/>
      <c r="AL9" s="575"/>
      <c r="AM9" s="588"/>
      <c r="AN9" s="575"/>
      <c r="AO9" s="588"/>
      <c r="AP9" s="575"/>
      <c r="AQ9" s="588"/>
      <c r="AR9" s="575"/>
      <c r="AS9" s="588"/>
      <c r="AT9" s="575"/>
      <c r="AU9" s="588"/>
      <c r="AV9" s="575"/>
      <c r="AW9" s="588"/>
      <c r="AX9" s="575"/>
      <c r="AY9" s="588"/>
      <c r="AZ9" s="575"/>
      <c r="BA9" s="588"/>
      <c r="BB9" s="673"/>
      <c r="BC9" s="369"/>
      <c r="BD9" s="594">
        <v>2</v>
      </c>
      <c r="BE9" s="293" t="s">
        <v>124</v>
      </c>
      <c r="BF9" s="82" t="s">
        <v>81</v>
      </c>
      <c r="BG9" s="80" t="s">
        <v>85</v>
      </c>
      <c r="BH9" s="606"/>
      <c r="BI9" s="80" t="str">
        <f>IF(OR(ISBLANK(F9),ISBLANK(H9)),"N/A",IF(ABS((H9-F9)/F9)&gt;1,"&gt; 100%","ok"))</f>
        <v>N/A</v>
      </c>
      <c r="BJ9" s="606"/>
      <c r="BK9" s="80" t="str">
        <f>IF(OR(ISBLANK(H9),ISBLANK(J9)),"N/A",IF(ABS((J9-H9)/H9)&gt;0.25,"&gt; 25%","ok"))</f>
        <v>N/A</v>
      </c>
      <c r="BL9" s="80"/>
      <c r="BM9" s="80" t="str">
        <f>IF(OR(ISBLANK(J9),ISBLANK(L9)),"N/A",IF(ABS((L9-J9)/J9)&gt;0.25,"&gt; 25%","ok"))</f>
        <v>N/A</v>
      </c>
      <c r="BN9" s="80"/>
      <c r="BO9" s="80" t="str">
        <f>IF(OR(ISBLANK(L9),ISBLANK(N9)),"N/A",IF(ABS((N9-L9)/L9)&gt;0.25,"&gt; 25%","ok"))</f>
        <v>N/A</v>
      </c>
      <c r="BP9" s="80"/>
      <c r="BQ9" s="80" t="str">
        <f>IF(OR(ISBLANK(N9),ISBLANK(P9)),"N/A",IF(ABS((P9-N9)/N9)&gt;0.25,"&gt; 25%","ok"))</f>
        <v>N/A</v>
      </c>
      <c r="BR9" s="80"/>
      <c r="BS9" s="80" t="str">
        <f>IF(OR(ISBLANK(P9),ISBLANK(R9)),"N/A",IF(ABS((R9-P9)/P9)&gt;0.25,"&gt; 25%","ok"))</f>
        <v>N/A</v>
      </c>
      <c r="BT9" s="80"/>
      <c r="BU9" s="80" t="str">
        <f>IF(OR(ISBLANK(R9),ISBLANK(T9)),"N/A",IF(ABS((T9-R9)/R9)&gt;0.25,"&gt; 25%","ok"))</f>
        <v>N/A</v>
      </c>
      <c r="BV9" s="80"/>
      <c r="BW9" s="80" t="str">
        <f>IF(OR(ISBLANK(T9),ISBLANK(V9)),"N/A",IF(ABS((V9-T9)/T9)&gt;0.25,"&gt; 25%","ok"))</f>
        <v>N/A</v>
      </c>
      <c r="BX9" s="80"/>
      <c r="BY9" s="80" t="str">
        <f>IF(OR(ISBLANK(V9),ISBLANK(X9)),"N/A",IF(ABS((X9-V9)/V9)&gt;0.25,"&gt; 25%","ok"))</f>
        <v>N/A</v>
      </c>
      <c r="BZ9" s="80"/>
      <c r="CA9" s="80" t="str">
        <f>IF(OR(ISBLANK(X9),ISBLANK(Z9)),"N/A",IF(ABS((Z9-X9)/X9)&gt;0.25,"&gt; 25%","ok"))</f>
        <v>N/A</v>
      </c>
      <c r="CB9" s="80"/>
      <c r="CC9" s="80" t="str">
        <f>IF(OR(ISBLANK(Z9),ISBLANK(AB9)),"N/A",IF(ABS((AB9-Z9)/Z9)&gt;0.25,"&gt; 25%","ok"))</f>
        <v>N/A</v>
      </c>
      <c r="CD9" s="80"/>
      <c r="CE9" s="80" t="str">
        <f>IF(OR(ISBLANK(AB9),ISBLANK(AD9)),"N/A",IF(ABS((AD9-AB9)/AB9)&gt;0.25,"&gt; 25%","ok"))</f>
        <v>N/A</v>
      </c>
      <c r="CF9" s="80"/>
      <c r="CG9" s="80" t="str">
        <f>IF(OR(ISBLANK(AD9),ISBLANK(AF9)),"N/A",IF(ABS((AF9-AD9)/AD9)&gt;0.25,"&gt; 25%","ok"))</f>
        <v>N/A</v>
      </c>
      <c r="CH9" s="80"/>
      <c r="CI9" s="80" t="str">
        <f>IF(OR(ISBLANK(AF9),ISBLANK(AH9)),"N/A",IF(ABS((AH9-AF9)/AF9)&gt;0.25,"&gt; 25%","ok"))</f>
        <v>N/A</v>
      </c>
      <c r="CJ9" s="80"/>
      <c r="CK9" s="80" t="str">
        <f>IF(OR(ISBLANK(AH9),ISBLANK(AJ9)),"N/A",IF(ABS((AJ9-AH9)/AH9)&gt;0.25,"&gt; 25%","ok"))</f>
        <v>N/A</v>
      </c>
      <c r="CL9" s="80"/>
      <c r="CM9" s="80" t="str">
        <f>IF(OR(ISBLANK(AJ9),ISBLANK(AL9)),"N/A",IF(ABS((AL9-AJ9)/AJ9)&gt;0.25,"&gt; 25%","ok"))</f>
        <v>N/A</v>
      </c>
      <c r="CN9" s="80"/>
      <c r="CO9" s="80" t="str">
        <f>IF(OR(ISBLANK(AL9),ISBLANK(AN9)),"N/A",IF(ABS((AN9-AL9)/AL9)&gt;0.25,"&gt; 25%","ok"))</f>
        <v>N/A</v>
      </c>
      <c r="CP9" s="80"/>
      <c r="CQ9" s="80" t="str">
        <f aca="true" t="shared" si="0" ref="CQ9:CQ38">IF(OR(ISBLANK(AN9),ISBLANK(AP9)),"N/A",IF(ABS((AP9-AN9)/AN9)&gt;0.25,"&gt; 25%","ok"))</f>
        <v>N/A</v>
      </c>
      <c r="CR9" s="80"/>
      <c r="CS9" s="80" t="str">
        <f>IF(OR(ISBLANK(AP9),ISBLANK(AR9)),"N/A",IF(ABS((AR9-AP9)/AP9)&gt;0.25,"&gt; 25%","ok"))</f>
        <v>N/A</v>
      </c>
      <c r="CT9" s="80"/>
      <c r="CU9" s="80" t="str">
        <f>IF(OR(ISBLANK(AR9),ISBLANK(AT9)),"N/A",IF(ABS((AT9-AR9)/AR9)&gt;0.25,"&gt; 25%","ok"))</f>
        <v>N/A</v>
      </c>
      <c r="CV9" s="80"/>
      <c r="CW9" s="80" t="str">
        <f>IF(OR(ISBLANK(AT9),ISBLANK(AV9)),"N/A",IF(ABS((AV9-AT9)/AT9)&gt;0.25,"&gt; 25%","ok"))</f>
        <v>N/A</v>
      </c>
      <c r="CX9" s="80"/>
      <c r="CY9" s="80" t="str">
        <f>IF(OR(ISBLANK(AV9),ISBLANK(AX9)),"N/A",IF(ABS((AX9-AV9)/AV9)&gt;0.25,"&gt; 25%","ok"))</f>
        <v>N/A</v>
      </c>
      <c r="CZ9" s="80"/>
      <c r="DA9" s="80" t="str">
        <f aca="true" t="shared" si="1" ref="DA9:DA38">IF(OR(ISBLANK(AX9),ISBLANK(AZ9)),"N/A",IF(ABS((AZ9-AX9)/AX9)&gt;0.25,"&gt; 25%","ok"))</f>
        <v>N/A</v>
      </c>
    </row>
    <row r="10" spans="1:105" s="374" customFormat="1" ht="15" customHeight="1">
      <c r="A10" s="370" t="s">
        <v>67</v>
      </c>
      <c r="B10" s="371">
        <v>5001</v>
      </c>
      <c r="C10" s="372">
        <v>3</v>
      </c>
      <c r="D10" s="373" t="s">
        <v>125</v>
      </c>
      <c r="E10" s="246" t="s">
        <v>313</v>
      </c>
      <c r="F10" s="601"/>
      <c r="G10" s="584"/>
      <c r="H10" s="601">
        <v>2431</v>
      </c>
      <c r="I10" s="584"/>
      <c r="J10" s="601"/>
      <c r="K10" s="584"/>
      <c r="L10" s="601"/>
      <c r="M10" s="584"/>
      <c r="N10" s="601"/>
      <c r="O10" s="584"/>
      <c r="P10" s="601"/>
      <c r="Q10" s="584"/>
      <c r="R10" s="601"/>
      <c r="S10" s="584"/>
      <c r="T10" s="601"/>
      <c r="U10" s="584"/>
      <c r="V10" s="601"/>
      <c r="W10" s="584"/>
      <c r="X10" s="601"/>
      <c r="Y10" s="584"/>
      <c r="Z10" s="601"/>
      <c r="AA10" s="584"/>
      <c r="AB10" s="601"/>
      <c r="AC10" s="584"/>
      <c r="AD10" s="601"/>
      <c r="AE10" s="584"/>
      <c r="AF10" s="601"/>
      <c r="AG10" s="584"/>
      <c r="AH10" s="601"/>
      <c r="AI10" s="584"/>
      <c r="AJ10" s="601"/>
      <c r="AK10" s="584"/>
      <c r="AL10" s="601"/>
      <c r="AM10" s="584"/>
      <c r="AN10" s="601"/>
      <c r="AO10" s="584"/>
      <c r="AP10" s="601"/>
      <c r="AQ10" s="584"/>
      <c r="AR10" s="601"/>
      <c r="AS10" s="584"/>
      <c r="AT10" s="601"/>
      <c r="AU10" s="584"/>
      <c r="AV10" s="601"/>
      <c r="AW10" s="584"/>
      <c r="AX10" s="601"/>
      <c r="AY10" s="584"/>
      <c r="AZ10" s="601"/>
      <c r="BA10" s="584"/>
      <c r="BB10" s="674"/>
      <c r="BC10" s="375"/>
      <c r="BD10" s="639">
        <v>3</v>
      </c>
      <c r="BE10" s="377" t="s">
        <v>125</v>
      </c>
      <c r="BF10" s="82" t="s">
        <v>81</v>
      </c>
      <c r="BG10" s="106" t="s">
        <v>85</v>
      </c>
      <c r="BH10" s="615"/>
      <c r="BI10" s="80" t="str">
        <f aca="true" t="shared" si="2" ref="BI10:BI38">IF(OR(ISBLANK(F10),ISBLANK(H10)),"N/A",IF(ABS((H10-F10)/F10)&gt;1,"&gt; 100%","ok"))</f>
        <v>N/A</v>
      </c>
      <c r="BJ10" s="606"/>
      <c r="BK10" s="80" t="str">
        <f>IF(OR(ISBLANK(H10),ISBLANK(J10)),"N/A",IF(ABS((J10-H10)/H10)&gt;0.25,"&gt; 25%","ok"))</f>
        <v>N/A</v>
      </c>
      <c r="BL10" s="80"/>
      <c r="BM10" s="80" t="str">
        <f>IF(OR(ISBLANK(J10),ISBLANK(L10)),"N/A",IF(ABS((L10-J10)/J10)&gt;0.25,"&gt; 25%","ok"))</f>
        <v>N/A</v>
      </c>
      <c r="BN10" s="80"/>
      <c r="BO10" s="80" t="str">
        <f>IF(OR(ISBLANK(L10),ISBLANK(N10)),"N/A",IF(ABS((N10-L10)/L10)&gt;0.25,"&gt; 25%","ok"))</f>
        <v>N/A</v>
      </c>
      <c r="BP10" s="80"/>
      <c r="BQ10" s="80" t="str">
        <f>IF(OR(ISBLANK(N10),ISBLANK(P10)),"N/A",IF(ABS((P10-N10)/N10)&gt;0.25,"&gt; 25%","ok"))</f>
        <v>N/A</v>
      </c>
      <c r="BR10" s="80"/>
      <c r="BS10" s="80" t="str">
        <f aca="true" t="shared" si="3" ref="BS10:BS38">IF(OR(ISBLANK(P10),ISBLANK(R10)),"N/A",IF(ABS((R10-P10)/P10)&gt;0.25,"&gt; 25%","ok"))</f>
        <v>N/A</v>
      </c>
      <c r="BT10" s="80"/>
      <c r="BU10" s="80" t="str">
        <f aca="true" t="shared" si="4" ref="BU10:BU38">IF(OR(ISBLANK(R10),ISBLANK(T10)),"N/A",IF(ABS((T10-R10)/R10)&gt;0.25,"&gt; 25%","ok"))</f>
        <v>N/A</v>
      </c>
      <c r="BV10" s="80"/>
      <c r="BW10" s="80" t="str">
        <f aca="true" t="shared" si="5" ref="BW10:BW38">IF(OR(ISBLANK(T10),ISBLANK(V10)),"N/A",IF(ABS((V10-T10)/T10)&gt;0.25,"&gt; 25%","ok"))</f>
        <v>N/A</v>
      </c>
      <c r="BX10" s="80"/>
      <c r="BY10" s="80" t="str">
        <f aca="true" t="shared" si="6" ref="BY10:BY38">IF(OR(ISBLANK(V10),ISBLANK(X10)),"N/A",IF(ABS((X10-V10)/V10)&gt;0.25,"&gt; 25%","ok"))</f>
        <v>N/A</v>
      </c>
      <c r="BZ10" s="80"/>
      <c r="CA10" s="80" t="str">
        <f aca="true" t="shared" si="7" ref="CA10:CA38">IF(OR(ISBLANK(X10),ISBLANK(Z10)),"N/A",IF(ABS((Z10-X10)/X10)&gt;0.25,"&gt; 25%","ok"))</f>
        <v>N/A</v>
      </c>
      <c r="CB10" s="80"/>
      <c r="CC10" s="80" t="str">
        <f aca="true" t="shared" si="8" ref="CC10:CC38">IF(OR(ISBLANK(Z10),ISBLANK(AB10)),"N/A",IF(ABS((AB10-Z10)/Z10)&gt;0.25,"&gt; 25%","ok"))</f>
        <v>N/A</v>
      </c>
      <c r="CD10" s="80"/>
      <c r="CE10" s="80" t="str">
        <f aca="true" t="shared" si="9" ref="CE10:CE38">IF(OR(ISBLANK(AB10),ISBLANK(AD10)),"N/A",IF(ABS((AD10-AB10)/AB10)&gt;0.25,"&gt; 25%","ok"))</f>
        <v>N/A</v>
      </c>
      <c r="CF10" s="80"/>
      <c r="CG10" s="80" t="str">
        <f aca="true" t="shared" si="10" ref="CG10:CG38">IF(OR(ISBLANK(AD10),ISBLANK(AF10)),"N/A",IF(ABS((AF10-AD10)/AD10)&gt;0.25,"&gt; 25%","ok"))</f>
        <v>N/A</v>
      </c>
      <c r="CH10" s="80"/>
      <c r="CI10" s="80" t="str">
        <f aca="true" t="shared" si="11" ref="CI10:CI38">IF(OR(ISBLANK(AF10),ISBLANK(AH10)),"N/A",IF(ABS((AH10-AF10)/AF10)&gt;0.25,"&gt; 25%","ok"))</f>
        <v>N/A</v>
      </c>
      <c r="CJ10" s="80"/>
      <c r="CK10" s="80" t="str">
        <f aca="true" t="shared" si="12" ref="CK10:CK38">IF(OR(ISBLANK(AH10),ISBLANK(AJ10)),"N/A",IF(ABS((AJ10-AH10)/AH10)&gt;0.25,"&gt; 25%","ok"))</f>
        <v>N/A</v>
      </c>
      <c r="CL10" s="80"/>
      <c r="CM10" s="80" t="str">
        <f aca="true" t="shared" si="13" ref="CM10:CM38">IF(OR(ISBLANK(AJ10),ISBLANK(AL10)),"N/A",IF(ABS((AL10-AJ10)/AJ10)&gt;0.25,"&gt; 25%","ok"))</f>
        <v>N/A</v>
      </c>
      <c r="CN10" s="80"/>
      <c r="CO10" s="80" t="str">
        <f aca="true" t="shared" si="14" ref="CO10:CO38">IF(OR(ISBLANK(AL10),ISBLANK(AN10)),"N/A",IF(ABS((AN10-AL10)/AL10)&gt;0.25,"&gt; 25%","ok"))</f>
        <v>N/A</v>
      </c>
      <c r="CP10" s="80"/>
      <c r="CQ10" s="80" t="str">
        <f t="shared" si="0"/>
        <v>N/A</v>
      </c>
      <c r="CR10" s="80"/>
      <c r="CS10" s="80" t="str">
        <f aca="true" t="shared" si="15" ref="CS10:CS38">IF(OR(ISBLANK(AP10),ISBLANK(AR10)),"N/A",IF(ABS((AR10-AP10)/AP10)&gt;0.25,"&gt; 25%","ok"))</f>
        <v>N/A</v>
      </c>
      <c r="CT10" s="80"/>
      <c r="CU10" s="80" t="str">
        <f aca="true" t="shared" si="16" ref="CU10:CU38">IF(OR(ISBLANK(AR10),ISBLANK(AT10)),"N/A",IF(ABS((AT10-AR10)/AR10)&gt;0.25,"&gt; 25%","ok"))</f>
        <v>N/A</v>
      </c>
      <c r="CV10" s="80"/>
      <c r="CW10" s="80" t="str">
        <f>IF(OR(ISBLANK(AT10),ISBLANK(AV10)),"N/A",IF(ABS((AV10-AT10)/AT10)&gt;0.25,"&gt; 25%","ok"))</f>
        <v>N/A</v>
      </c>
      <c r="CX10" s="80"/>
      <c r="CY10" s="80" t="str">
        <f>IF(OR(ISBLANK(AV10),ISBLANK(AX10)),"N/A",IF(ABS((AX10-AV10)/AV10)&gt;0.25,"&gt; 25%","ok"))</f>
        <v>N/A</v>
      </c>
      <c r="CZ10" s="80"/>
      <c r="DA10" s="80" t="str">
        <f t="shared" si="1"/>
        <v>N/A</v>
      </c>
    </row>
    <row r="11" spans="1:105" s="378" customFormat="1" ht="15" customHeight="1">
      <c r="A11" s="212"/>
      <c r="B11" s="365">
        <v>5002</v>
      </c>
      <c r="C11" s="594"/>
      <c r="D11" s="593" t="s">
        <v>453</v>
      </c>
      <c r="E11" s="594"/>
      <c r="F11" s="595"/>
      <c r="G11" s="596"/>
      <c r="H11" s="595"/>
      <c r="I11" s="596"/>
      <c r="J11" s="595"/>
      <c r="K11" s="596"/>
      <c r="L11" s="595"/>
      <c r="M11" s="596"/>
      <c r="N11" s="595"/>
      <c r="O11" s="596"/>
      <c r="P11" s="595"/>
      <c r="Q11" s="596"/>
      <c r="R11" s="595"/>
      <c r="S11" s="596"/>
      <c r="T11" s="595"/>
      <c r="U11" s="596"/>
      <c r="V11" s="595"/>
      <c r="W11" s="596"/>
      <c r="X11" s="595"/>
      <c r="Y11" s="596"/>
      <c r="Z11" s="595"/>
      <c r="AA11" s="596"/>
      <c r="AB11" s="595"/>
      <c r="AC11" s="596"/>
      <c r="AD11" s="595"/>
      <c r="AE11" s="596"/>
      <c r="AF11" s="595"/>
      <c r="AG11" s="596"/>
      <c r="AH11" s="595"/>
      <c r="AI11" s="596"/>
      <c r="AJ11" s="595"/>
      <c r="AK11" s="596"/>
      <c r="AL11" s="595"/>
      <c r="AM11" s="596"/>
      <c r="AN11" s="595"/>
      <c r="AO11" s="596"/>
      <c r="AP11" s="595"/>
      <c r="AQ11" s="596"/>
      <c r="AR11" s="595"/>
      <c r="AS11" s="596"/>
      <c r="AT11" s="595"/>
      <c r="AU11" s="596"/>
      <c r="AV11" s="595"/>
      <c r="AW11" s="596"/>
      <c r="AX11" s="595"/>
      <c r="AY11" s="596"/>
      <c r="AZ11" s="595"/>
      <c r="BA11" s="596"/>
      <c r="BB11" s="502"/>
      <c r="BC11" s="215"/>
      <c r="BD11" s="594"/>
      <c r="BE11" s="379" t="s">
        <v>453</v>
      </c>
      <c r="BF11" s="82"/>
      <c r="BG11" s="80"/>
      <c r="BH11" s="606"/>
      <c r="BI11" s="80"/>
      <c r="BJ11" s="606"/>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row>
    <row r="12" spans="1:105" s="378" customFormat="1" ht="15" customHeight="1">
      <c r="A12" s="212"/>
      <c r="B12" s="365">
        <v>255</v>
      </c>
      <c r="C12" s="255">
        <v>4</v>
      </c>
      <c r="D12" s="380" t="s">
        <v>132</v>
      </c>
      <c r="E12" s="255" t="s">
        <v>313</v>
      </c>
      <c r="F12" s="575"/>
      <c r="G12" s="588"/>
      <c r="H12" s="575"/>
      <c r="I12" s="588"/>
      <c r="J12" s="575"/>
      <c r="K12" s="588"/>
      <c r="L12" s="575"/>
      <c r="M12" s="588"/>
      <c r="N12" s="575"/>
      <c r="O12" s="588"/>
      <c r="P12" s="575"/>
      <c r="Q12" s="588"/>
      <c r="R12" s="575"/>
      <c r="S12" s="588"/>
      <c r="T12" s="575"/>
      <c r="U12" s="588"/>
      <c r="V12" s="575"/>
      <c r="W12" s="588"/>
      <c r="X12" s="575"/>
      <c r="Y12" s="588"/>
      <c r="Z12" s="575"/>
      <c r="AA12" s="588"/>
      <c r="AB12" s="575"/>
      <c r="AC12" s="588"/>
      <c r="AD12" s="575">
        <v>319.159</v>
      </c>
      <c r="AE12" s="588"/>
      <c r="AF12" s="575">
        <v>343.425</v>
      </c>
      <c r="AG12" s="588"/>
      <c r="AH12" s="575">
        <v>358.055</v>
      </c>
      <c r="AI12" s="588"/>
      <c r="AJ12" s="575">
        <v>367.558</v>
      </c>
      <c r="AK12" s="588"/>
      <c r="AL12" s="575">
        <v>373.868</v>
      </c>
      <c r="AM12" s="588"/>
      <c r="AN12" s="575">
        <v>370.726</v>
      </c>
      <c r="AO12" s="588"/>
      <c r="AP12" s="575">
        <v>361.101</v>
      </c>
      <c r="AQ12" s="588"/>
      <c r="AR12" s="575">
        <v>356.851</v>
      </c>
      <c r="AS12" s="588"/>
      <c r="AT12" s="575">
        <v>355.324</v>
      </c>
      <c r="AU12" s="588"/>
      <c r="AV12" s="575">
        <v>342.521</v>
      </c>
      <c r="AW12" s="588"/>
      <c r="AX12" s="575"/>
      <c r="AY12" s="588"/>
      <c r="AZ12" s="575"/>
      <c r="BA12" s="588"/>
      <c r="BB12" s="502"/>
      <c r="BC12" s="215"/>
      <c r="BD12" s="594">
        <v>4</v>
      </c>
      <c r="BE12" s="381" t="s">
        <v>132</v>
      </c>
      <c r="BF12" s="82" t="s">
        <v>81</v>
      </c>
      <c r="BG12" s="80" t="s">
        <v>85</v>
      </c>
      <c r="BH12" s="606"/>
      <c r="BI12" s="80" t="str">
        <f t="shared" si="2"/>
        <v>N/A</v>
      </c>
      <c r="BJ12" s="606"/>
      <c r="BK12" s="80" t="str">
        <f aca="true" t="shared" si="17" ref="BK12:BK28">IF(OR(ISBLANK(H12),ISBLANK(J12)),"N/A",IF(ABS((J12-H12)/H12)&gt;0.25,"&gt; 25%","ok"))</f>
        <v>N/A</v>
      </c>
      <c r="BL12" s="80"/>
      <c r="BM12" s="80" t="str">
        <f aca="true" t="shared" si="18" ref="BM12:BM28">IF(OR(ISBLANK(J12),ISBLANK(L12)),"N/A",IF(ABS((L12-J12)/J12)&gt;0.25,"&gt; 25%","ok"))</f>
        <v>N/A</v>
      </c>
      <c r="BN12" s="80"/>
      <c r="BO12" s="80" t="str">
        <f aca="true" t="shared" si="19" ref="BO12:BO28">IF(OR(ISBLANK(L12),ISBLANK(N12)),"N/A",IF(ABS((N12-L12)/L12)&gt;0.25,"&gt; 25%","ok"))</f>
        <v>N/A</v>
      </c>
      <c r="BP12" s="80"/>
      <c r="BQ12" s="80" t="str">
        <f aca="true" t="shared" si="20" ref="BQ12:BQ28">IF(OR(ISBLANK(N12),ISBLANK(P12)),"N/A",IF(ABS((P12-N12)/N12)&gt;0.25,"&gt; 25%","ok"))</f>
        <v>N/A</v>
      </c>
      <c r="BR12" s="80"/>
      <c r="BS12" s="80" t="str">
        <f t="shared" si="3"/>
        <v>N/A</v>
      </c>
      <c r="BT12" s="80"/>
      <c r="BU12" s="80" t="str">
        <f t="shared" si="4"/>
        <v>N/A</v>
      </c>
      <c r="BV12" s="80"/>
      <c r="BW12" s="80" t="str">
        <f t="shared" si="5"/>
        <v>N/A</v>
      </c>
      <c r="BX12" s="80"/>
      <c r="BY12" s="80" t="str">
        <f t="shared" si="6"/>
        <v>N/A</v>
      </c>
      <c r="BZ12" s="80"/>
      <c r="CA12" s="80" t="str">
        <f t="shared" si="7"/>
        <v>N/A</v>
      </c>
      <c r="CB12" s="80"/>
      <c r="CC12" s="80" t="str">
        <f t="shared" si="8"/>
        <v>N/A</v>
      </c>
      <c r="CD12" s="80"/>
      <c r="CE12" s="80" t="str">
        <f t="shared" si="9"/>
        <v>N/A</v>
      </c>
      <c r="CF12" s="80"/>
      <c r="CG12" s="80" t="str">
        <f t="shared" si="10"/>
        <v>ok</v>
      </c>
      <c r="CH12" s="80"/>
      <c r="CI12" s="80" t="str">
        <f t="shared" si="11"/>
        <v>ok</v>
      </c>
      <c r="CJ12" s="80"/>
      <c r="CK12" s="80" t="str">
        <f t="shared" si="12"/>
        <v>ok</v>
      </c>
      <c r="CL12" s="80"/>
      <c r="CM12" s="80" t="str">
        <f t="shared" si="13"/>
        <v>ok</v>
      </c>
      <c r="CN12" s="80"/>
      <c r="CO12" s="80" t="str">
        <f t="shared" si="14"/>
        <v>ok</v>
      </c>
      <c r="CP12" s="80"/>
      <c r="CQ12" s="80" t="str">
        <f t="shared" si="0"/>
        <v>ok</v>
      </c>
      <c r="CR12" s="80"/>
      <c r="CS12" s="80" t="str">
        <f t="shared" si="15"/>
        <v>ok</v>
      </c>
      <c r="CT12" s="80"/>
      <c r="CU12" s="80" t="str">
        <f t="shared" si="16"/>
        <v>ok</v>
      </c>
      <c r="CV12" s="80"/>
      <c r="CW12" s="80" t="str">
        <f aca="true" t="shared" si="21" ref="CW12:CW28">IF(OR(ISBLANK(AT12),ISBLANK(AV12)),"N/A",IF(ABS((AV12-AT12)/AT12)&gt;0.25,"&gt; 25%","ok"))</f>
        <v>ok</v>
      </c>
      <c r="CX12" s="80"/>
      <c r="CY12" s="80" t="str">
        <f aca="true" t="shared" si="22" ref="CY12:CY28">IF(OR(ISBLANK(AV12),ISBLANK(AX12)),"N/A",IF(ABS((AX12-AV12)/AV12)&gt;0.25,"&gt; 25%","ok"))</f>
        <v>N/A</v>
      </c>
      <c r="CZ12" s="80"/>
      <c r="DA12" s="80" t="str">
        <f t="shared" si="1"/>
        <v>N/A</v>
      </c>
    </row>
    <row r="13" spans="1:105" s="378" customFormat="1" ht="15" customHeight="1">
      <c r="A13" s="212"/>
      <c r="B13" s="365">
        <v>256</v>
      </c>
      <c r="C13" s="255">
        <v>5</v>
      </c>
      <c r="D13" s="380" t="s">
        <v>398</v>
      </c>
      <c r="E13" s="255" t="s">
        <v>313</v>
      </c>
      <c r="F13" s="575"/>
      <c r="G13" s="588"/>
      <c r="H13" s="575"/>
      <c r="I13" s="588"/>
      <c r="J13" s="575"/>
      <c r="K13" s="588"/>
      <c r="L13" s="575"/>
      <c r="M13" s="588"/>
      <c r="N13" s="575"/>
      <c r="O13" s="588"/>
      <c r="P13" s="575"/>
      <c r="Q13" s="588"/>
      <c r="R13" s="575"/>
      <c r="S13" s="588"/>
      <c r="T13" s="575"/>
      <c r="U13" s="588"/>
      <c r="V13" s="575"/>
      <c r="W13" s="588"/>
      <c r="X13" s="575"/>
      <c r="Y13" s="588"/>
      <c r="Z13" s="575"/>
      <c r="AA13" s="588"/>
      <c r="AB13" s="575"/>
      <c r="AC13" s="588"/>
      <c r="AD13" s="575"/>
      <c r="AE13" s="588"/>
      <c r="AF13" s="575"/>
      <c r="AG13" s="588"/>
      <c r="AH13" s="575"/>
      <c r="AI13" s="588"/>
      <c r="AJ13" s="575"/>
      <c r="AK13" s="588"/>
      <c r="AL13" s="575"/>
      <c r="AM13" s="588"/>
      <c r="AN13" s="575"/>
      <c r="AO13" s="588"/>
      <c r="AP13" s="575"/>
      <c r="AQ13" s="588"/>
      <c r="AR13" s="575"/>
      <c r="AS13" s="588"/>
      <c r="AT13" s="575"/>
      <c r="AU13" s="588"/>
      <c r="AV13" s="575"/>
      <c r="AW13" s="588"/>
      <c r="AX13" s="575"/>
      <c r="AY13" s="588"/>
      <c r="AZ13" s="575"/>
      <c r="BA13" s="588"/>
      <c r="BB13" s="502"/>
      <c r="BC13" s="215"/>
      <c r="BD13" s="594">
        <v>5</v>
      </c>
      <c r="BE13" s="381" t="s">
        <v>398</v>
      </c>
      <c r="BF13" s="82" t="s">
        <v>81</v>
      </c>
      <c r="BG13" s="80" t="s">
        <v>85</v>
      </c>
      <c r="BH13" s="606"/>
      <c r="BI13" s="80" t="str">
        <f t="shared" si="2"/>
        <v>N/A</v>
      </c>
      <c r="BJ13" s="606"/>
      <c r="BK13" s="80" t="str">
        <f t="shared" si="17"/>
        <v>N/A</v>
      </c>
      <c r="BL13" s="80"/>
      <c r="BM13" s="80" t="str">
        <f t="shared" si="18"/>
        <v>N/A</v>
      </c>
      <c r="BN13" s="80"/>
      <c r="BO13" s="80" t="str">
        <f t="shared" si="19"/>
        <v>N/A</v>
      </c>
      <c r="BP13" s="80"/>
      <c r="BQ13" s="80" t="str">
        <f t="shared" si="20"/>
        <v>N/A</v>
      </c>
      <c r="BR13" s="80"/>
      <c r="BS13" s="80" t="str">
        <f t="shared" si="3"/>
        <v>N/A</v>
      </c>
      <c r="BT13" s="80"/>
      <c r="BU13" s="80" t="str">
        <f t="shared" si="4"/>
        <v>N/A</v>
      </c>
      <c r="BV13" s="80"/>
      <c r="BW13" s="80" t="str">
        <f t="shared" si="5"/>
        <v>N/A</v>
      </c>
      <c r="BX13" s="80"/>
      <c r="BY13" s="80" t="str">
        <f t="shared" si="6"/>
        <v>N/A</v>
      </c>
      <c r="BZ13" s="80"/>
      <c r="CA13" s="80" t="str">
        <f t="shared" si="7"/>
        <v>N/A</v>
      </c>
      <c r="CB13" s="80"/>
      <c r="CC13" s="80" t="str">
        <f t="shared" si="8"/>
        <v>N/A</v>
      </c>
      <c r="CD13" s="80"/>
      <c r="CE13" s="80" t="str">
        <f t="shared" si="9"/>
        <v>N/A</v>
      </c>
      <c r="CF13" s="80"/>
      <c r="CG13" s="80" t="str">
        <f t="shared" si="10"/>
        <v>N/A</v>
      </c>
      <c r="CH13" s="80"/>
      <c r="CI13" s="80" t="str">
        <f t="shared" si="11"/>
        <v>N/A</v>
      </c>
      <c r="CJ13" s="80"/>
      <c r="CK13" s="80" t="str">
        <f t="shared" si="12"/>
        <v>N/A</v>
      </c>
      <c r="CL13" s="80"/>
      <c r="CM13" s="80" t="str">
        <f t="shared" si="13"/>
        <v>N/A</v>
      </c>
      <c r="CN13" s="80"/>
      <c r="CO13" s="80" t="str">
        <f t="shared" si="14"/>
        <v>N/A</v>
      </c>
      <c r="CP13" s="80"/>
      <c r="CQ13" s="80" t="str">
        <f t="shared" si="0"/>
        <v>N/A</v>
      </c>
      <c r="CR13" s="80"/>
      <c r="CS13" s="80" t="str">
        <f t="shared" si="15"/>
        <v>N/A</v>
      </c>
      <c r="CT13" s="80"/>
      <c r="CU13" s="80" t="str">
        <f t="shared" si="16"/>
        <v>N/A</v>
      </c>
      <c r="CV13" s="80"/>
      <c r="CW13" s="80" t="str">
        <f t="shared" si="21"/>
        <v>N/A</v>
      </c>
      <c r="CX13" s="80"/>
      <c r="CY13" s="80" t="str">
        <f t="shared" si="22"/>
        <v>N/A</v>
      </c>
      <c r="CZ13" s="80"/>
      <c r="DA13" s="80" t="str">
        <f t="shared" si="1"/>
        <v>N/A</v>
      </c>
    </row>
    <row r="14" spans="1:105" s="378" customFormat="1" ht="15" customHeight="1">
      <c r="A14" s="212"/>
      <c r="B14" s="365">
        <v>257</v>
      </c>
      <c r="C14" s="255">
        <v>6</v>
      </c>
      <c r="D14" s="380" t="s">
        <v>122</v>
      </c>
      <c r="E14" s="255" t="s">
        <v>313</v>
      </c>
      <c r="F14" s="575"/>
      <c r="G14" s="588"/>
      <c r="H14" s="575"/>
      <c r="I14" s="588"/>
      <c r="J14" s="575"/>
      <c r="K14" s="588"/>
      <c r="L14" s="575"/>
      <c r="M14" s="588"/>
      <c r="N14" s="575"/>
      <c r="O14" s="588"/>
      <c r="P14" s="575"/>
      <c r="Q14" s="588"/>
      <c r="R14" s="575"/>
      <c r="S14" s="588"/>
      <c r="T14" s="575"/>
      <c r="U14" s="588"/>
      <c r="V14" s="575"/>
      <c r="W14" s="588"/>
      <c r="X14" s="575"/>
      <c r="Y14" s="588"/>
      <c r="Z14" s="575"/>
      <c r="AA14" s="588"/>
      <c r="AB14" s="575"/>
      <c r="AC14" s="588"/>
      <c r="AD14" s="575"/>
      <c r="AE14" s="588"/>
      <c r="AF14" s="575"/>
      <c r="AG14" s="588"/>
      <c r="AH14" s="575"/>
      <c r="AI14" s="588"/>
      <c r="AJ14" s="575"/>
      <c r="AK14" s="588"/>
      <c r="AL14" s="575"/>
      <c r="AM14" s="588"/>
      <c r="AN14" s="575"/>
      <c r="AO14" s="588"/>
      <c r="AP14" s="575"/>
      <c r="AQ14" s="588"/>
      <c r="AR14" s="575"/>
      <c r="AS14" s="588"/>
      <c r="AT14" s="575"/>
      <c r="AU14" s="588"/>
      <c r="AV14" s="575"/>
      <c r="AW14" s="588"/>
      <c r="AX14" s="575"/>
      <c r="AY14" s="588"/>
      <c r="AZ14" s="575"/>
      <c r="BA14" s="588"/>
      <c r="BB14" s="502"/>
      <c r="BC14" s="215"/>
      <c r="BD14" s="594">
        <v>6</v>
      </c>
      <c r="BE14" s="381" t="s">
        <v>122</v>
      </c>
      <c r="BF14" s="82" t="s">
        <v>81</v>
      </c>
      <c r="BG14" s="80" t="s">
        <v>85</v>
      </c>
      <c r="BH14" s="606"/>
      <c r="BI14" s="80" t="str">
        <f t="shared" si="2"/>
        <v>N/A</v>
      </c>
      <c r="BJ14" s="606"/>
      <c r="BK14" s="80" t="str">
        <f>IF(OR(ISBLANK(H14),ISBLANK(J14)),"N/A",IF(ABS((J14-H14)/H14)&gt;0.25,"&gt; 25%","ok"))</f>
        <v>N/A</v>
      </c>
      <c r="BL14" s="80"/>
      <c r="BM14" s="80" t="str">
        <f t="shared" si="18"/>
        <v>N/A</v>
      </c>
      <c r="BN14" s="80"/>
      <c r="BO14" s="80" t="str">
        <f t="shared" si="19"/>
        <v>N/A</v>
      </c>
      <c r="BP14" s="80"/>
      <c r="BQ14" s="80" t="str">
        <f t="shared" si="20"/>
        <v>N/A</v>
      </c>
      <c r="BR14" s="80"/>
      <c r="BS14" s="80" t="str">
        <f t="shared" si="3"/>
        <v>N/A</v>
      </c>
      <c r="BT14" s="80"/>
      <c r="BU14" s="80" t="str">
        <f t="shared" si="4"/>
        <v>N/A</v>
      </c>
      <c r="BV14" s="80"/>
      <c r="BW14" s="80" t="str">
        <f t="shared" si="5"/>
        <v>N/A</v>
      </c>
      <c r="BX14" s="80"/>
      <c r="BY14" s="80" t="str">
        <f t="shared" si="6"/>
        <v>N/A</v>
      </c>
      <c r="BZ14" s="80"/>
      <c r="CA14" s="80" t="str">
        <f t="shared" si="7"/>
        <v>N/A</v>
      </c>
      <c r="CB14" s="80"/>
      <c r="CC14" s="80" t="str">
        <f t="shared" si="8"/>
        <v>N/A</v>
      </c>
      <c r="CD14" s="80"/>
      <c r="CE14" s="80" t="str">
        <f t="shared" si="9"/>
        <v>N/A</v>
      </c>
      <c r="CF14" s="80"/>
      <c r="CG14" s="80" t="str">
        <f t="shared" si="10"/>
        <v>N/A</v>
      </c>
      <c r="CH14" s="80"/>
      <c r="CI14" s="80" t="str">
        <f t="shared" si="11"/>
        <v>N/A</v>
      </c>
      <c r="CJ14" s="80"/>
      <c r="CK14" s="80" t="str">
        <f t="shared" si="12"/>
        <v>N/A</v>
      </c>
      <c r="CL14" s="80"/>
      <c r="CM14" s="80" t="str">
        <f t="shared" si="13"/>
        <v>N/A</v>
      </c>
      <c r="CN14" s="80"/>
      <c r="CO14" s="80" t="str">
        <f t="shared" si="14"/>
        <v>N/A</v>
      </c>
      <c r="CP14" s="80"/>
      <c r="CQ14" s="80" t="str">
        <f t="shared" si="0"/>
        <v>N/A</v>
      </c>
      <c r="CR14" s="80"/>
      <c r="CS14" s="80" t="str">
        <f t="shared" si="15"/>
        <v>N/A</v>
      </c>
      <c r="CT14" s="80"/>
      <c r="CU14" s="80" t="str">
        <f t="shared" si="16"/>
        <v>N/A</v>
      </c>
      <c r="CV14" s="80"/>
      <c r="CW14" s="80" t="str">
        <f t="shared" si="21"/>
        <v>N/A</v>
      </c>
      <c r="CX14" s="80"/>
      <c r="CY14" s="80" t="str">
        <f t="shared" si="22"/>
        <v>N/A</v>
      </c>
      <c r="CZ14" s="80"/>
      <c r="DA14" s="80" t="str">
        <f t="shared" si="1"/>
        <v>N/A</v>
      </c>
    </row>
    <row r="15" spans="1:105" s="378" customFormat="1" ht="15" customHeight="1">
      <c r="A15" s="212"/>
      <c r="B15" s="365">
        <v>263</v>
      </c>
      <c r="C15" s="255">
        <v>7</v>
      </c>
      <c r="D15" s="665" t="s">
        <v>623</v>
      </c>
      <c r="E15" s="255" t="s">
        <v>313</v>
      </c>
      <c r="F15" s="575"/>
      <c r="G15" s="588"/>
      <c r="H15" s="575"/>
      <c r="I15" s="588"/>
      <c r="J15" s="575"/>
      <c r="K15" s="588"/>
      <c r="L15" s="575"/>
      <c r="M15" s="588"/>
      <c r="N15" s="575"/>
      <c r="O15" s="588"/>
      <c r="P15" s="575"/>
      <c r="Q15" s="588"/>
      <c r="R15" s="575"/>
      <c r="S15" s="588"/>
      <c r="T15" s="575"/>
      <c r="U15" s="588"/>
      <c r="V15" s="575"/>
      <c r="W15" s="588"/>
      <c r="X15" s="575"/>
      <c r="Y15" s="588"/>
      <c r="Z15" s="575"/>
      <c r="AA15" s="588"/>
      <c r="AB15" s="575"/>
      <c r="AC15" s="588"/>
      <c r="AD15" s="575"/>
      <c r="AE15" s="588"/>
      <c r="AF15" s="575"/>
      <c r="AG15" s="588"/>
      <c r="AH15" s="575"/>
      <c r="AI15" s="588"/>
      <c r="AJ15" s="575"/>
      <c r="AK15" s="588"/>
      <c r="AL15" s="575"/>
      <c r="AM15" s="588"/>
      <c r="AN15" s="575"/>
      <c r="AO15" s="588"/>
      <c r="AP15" s="575"/>
      <c r="AQ15" s="588"/>
      <c r="AR15" s="575"/>
      <c r="AS15" s="588"/>
      <c r="AT15" s="575"/>
      <c r="AU15" s="588"/>
      <c r="AV15" s="575"/>
      <c r="AW15" s="588"/>
      <c r="AX15" s="575"/>
      <c r="AY15" s="588"/>
      <c r="AZ15" s="575"/>
      <c r="BA15" s="588"/>
      <c r="BB15" s="502"/>
      <c r="BC15" s="215"/>
      <c r="BD15" s="594">
        <v>7</v>
      </c>
      <c r="BE15" s="451" t="s">
        <v>592</v>
      </c>
      <c r="BF15" s="82" t="s">
        <v>81</v>
      </c>
      <c r="BG15" s="80"/>
      <c r="BH15" s="606"/>
      <c r="BI15" s="80" t="str">
        <f>IF(OR(ISBLANK(F15),ISBLANK(H15)),"N/A",IF(ABS((H15-F15)/F15)&gt;1,"&gt; 100%","ok"))</f>
        <v>N/A</v>
      </c>
      <c r="BJ15" s="606"/>
      <c r="BK15" s="80" t="str">
        <f>IF(OR(ISBLANK(H15),ISBLANK(J15)),"N/A",IF(ABS((J15-H15)/H15)&gt;0.25,"&gt; 25%","ok"))</f>
        <v>N/A</v>
      </c>
      <c r="BL15" s="80"/>
      <c r="BM15" s="80" t="str">
        <f>IF(OR(ISBLANK(J15),ISBLANK(L15)),"N/A",IF(ABS((L15-J15)/J15)&gt;0.25,"&gt; 25%","ok"))</f>
        <v>N/A</v>
      </c>
      <c r="BN15" s="80"/>
      <c r="BO15" s="80" t="str">
        <f>IF(OR(ISBLANK(L15),ISBLANK(N15)),"N/A",IF(ABS((N15-L15)/L15)&gt;0.25,"&gt; 25%","ok"))</f>
        <v>N/A</v>
      </c>
      <c r="BP15" s="80"/>
      <c r="BQ15" s="80" t="str">
        <f>IF(OR(ISBLANK(N15),ISBLANK(P15)),"N/A",IF(ABS((P15-N15)/N15)&gt;0.25,"&gt; 25%","ok"))</f>
        <v>N/A</v>
      </c>
      <c r="BR15" s="80"/>
      <c r="BS15" s="80" t="str">
        <f>IF(OR(ISBLANK(P15),ISBLANK(R15)),"N/A",IF(ABS((R15-P15)/P15)&gt;0.25,"&gt; 25%","ok"))</f>
        <v>N/A</v>
      </c>
      <c r="BT15" s="80"/>
      <c r="BU15" s="80" t="str">
        <f>IF(OR(ISBLANK(R15),ISBLANK(T15)),"N/A",IF(ABS((T15-R15)/R15)&gt;0.25,"&gt; 25%","ok"))</f>
        <v>N/A</v>
      </c>
      <c r="BV15" s="80"/>
      <c r="BW15" s="80" t="str">
        <f>IF(OR(ISBLANK(T15),ISBLANK(V15)),"N/A",IF(ABS((V15-T15)/T15)&gt;0.25,"&gt; 25%","ok"))</f>
        <v>N/A</v>
      </c>
      <c r="BX15" s="80"/>
      <c r="BY15" s="80" t="str">
        <f>IF(OR(ISBLANK(V15),ISBLANK(X15)),"N/A",IF(ABS((X15-V15)/V15)&gt;0.25,"&gt; 25%","ok"))</f>
        <v>N/A</v>
      </c>
      <c r="BZ15" s="80"/>
      <c r="CA15" s="80" t="str">
        <f>IF(OR(ISBLANK(X15),ISBLANK(Z15)),"N/A",IF(ABS((Z15-X15)/X15)&gt;0.25,"&gt; 25%","ok"))</f>
        <v>N/A</v>
      </c>
      <c r="CB15" s="80"/>
      <c r="CC15" s="80" t="str">
        <f>IF(OR(ISBLANK(Z15),ISBLANK(AB15)),"N/A",IF(ABS((AB15-Z15)/Z15)&gt;0.25,"&gt; 25%","ok"))</f>
        <v>N/A</v>
      </c>
      <c r="CD15" s="80"/>
      <c r="CE15" s="80" t="str">
        <f>IF(OR(ISBLANK(AB15),ISBLANK(AD15)),"N/A",IF(ABS((AD15-AB15)/AB15)&gt;0.25,"&gt; 25%","ok"))</f>
        <v>N/A</v>
      </c>
      <c r="CF15" s="80"/>
      <c r="CG15" s="80" t="str">
        <f>IF(OR(ISBLANK(AD15),ISBLANK(AF15)),"N/A",IF(ABS((AF15-AD15)/AD15)&gt;0.25,"&gt; 25%","ok"))</f>
        <v>N/A</v>
      </c>
      <c r="CH15" s="80"/>
      <c r="CI15" s="80" t="str">
        <f>IF(OR(ISBLANK(AF15),ISBLANK(AH15)),"N/A",IF(ABS((AH15-AF15)/AF15)&gt;0.25,"&gt; 25%","ok"))</f>
        <v>N/A</v>
      </c>
      <c r="CJ15" s="80"/>
      <c r="CK15" s="80" t="str">
        <f>IF(OR(ISBLANK(AH15),ISBLANK(AJ15)),"N/A",IF(ABS((AJ15-AH15)/AH15)&gt;0.25,"&gt; 25%","ok"))</f>
        <v>N/A</v>
      </c>
      <c r="CL15" s="80"/>
      <c r="CM15" s="80" t="str">
        <f>IF(OR(ISBLANK(AJ15),ISBLANK(AL15)),"N/A",IF(ABS((AL15-AJ15)/AJ15)&gt;0.25,"&gt; 25%","ok"))</f>
        <v>N/A</v>
      </c>
      <c r="CN15" s="80"/>
      <c r="CO15" s="80" t="str">
        <f>IF(OR(ISBLANK(AL15),ISBLANK(AN15)),"N/A",IF(ABS((AN15-AL15)/AL15)&gt;0.25,"&gt; 25%","ok"))</f>
        <v>N/A</v>
      </c>
      <c r="CP15" s="80"/>
      <c r="CQ15" s="80" t="str">
        <f>IF(OR(ISBLANK(AN15),ISBLANK(AP15)),"N/A",IF(ABS((AP15-AN15)/AN15)&gt;0.25,"&gt; 25%","ok"))</f>
        <v>N/A</v>
      </c>
      <c r="CR15" s="80"/>
      <c r="CS15" s="80" t="str">
        <f>IF(OR(ISBLANK(AP15),ISBLANK(AR15)),"N/A",IF(ABS((AR15-AP15)/AP15)&gt;0.25,"&gt; 25%","ok"))</f>
        <v>N/A</v>
      </c>
      <c r="CT15" s="80"/>
      <c r="CU15" s="80" t="str">
        <f>IF(OR(ISBLANK(AR15),ISBLANK(AT15)),"N/A",IF(ABS((AT15-AR15)/AR15)&gt;0.25,"&gt; 25%","ok"))</f>
        <v>N/A</v>
      </c>
      <c r="CV15" s="80"/>
      <c r="CW15" s="80" t="str">
        <f>IF(OR(ISBLANK(AT15),ISBLANK(AV15)),"N/A",IF(ABS((AV15-AT15)/AT15)&gt;0.25,"&gt; 25%","ok"))</f>
        <v>N/A</v>
      </c>
      <c r="CX15" s="80"/>
      <c r="CY15" s="80" t="str">
        <f>IF(OR(ISBLANK(AV15),ISBLANK(AX15)),"N/A",IF(ABS((AX15-AV15)/AV15)&gt;0.25,"&gt; 25%","ok"))</f>
        <v>N/A</v>
      </c>
      <c r="CZ15" s="80"/>
      <c r="DA15" s="80" t="str">
        <f t="shared" si="1"/>
        <v>N/A</v>
      </c>
    </row>
    <row r="16" spans="1:105" s="378" customFormat="1" ht="15" customHeight="1">
      <c r="A16" s="212"/>
      <c r="B16" s="365">
        <v>264</v>
      </c>
      <c r="C16" s="255">
        <v>8</v>
      </c>
      <c r="D16" s="380" t="s">
        <v>538</v>
      </c>
      <c r="E16" s="255" t="s">
        <v>313</v>
      </c>
      <c r="F16" s="575"/>
      <c r="G16" s="588"/>
      <c r="H16" s="575"/>
      <c r="I16" s="588"/>
      <c r="J16" s="575"/>
      <c r="K16" s="588"/>
      <c r="L16" s="575"/>
      <c r="M16" s="588"/>
      <c r="N16" s="575"/>
      <c r="O16" s="588"/>
      <c r="P16" s="575"/>
      <c r="Q16" s="588"/>
      <c r="R16" s="575"/>
      <c r="S16" s="588"/>
      <c r="T16" s="575"/>
      <c r="U16" s="588"/>
      <c r="V16" s="575"/>
      <c r="W16" s="588"/>
      <c r="X16" s="575"/>
      <c r="Y16" s="588"/>
      <c r="Z16" s="575"/>
      <c r="AA16" s="588"/>
      <c r="AB16" s="575"/>
      <c r="AC16" s="588"/>
      <c r="AD16" s="575"/>
      <c r="AE16" s="588"/>
      <c r="AF16" s="575"/>
      <c r="AG16" s="588"/>
      <c r="AH16" s="575"/>
      <c r="AI16" s="588"/>
      <c r="AJ16" s="575"/>
      <c r="AK16" s="588"/>
      <c r="AL16" s="575"/>
      <c r="AM16" s="588"/>
      <c r="AN16" s="575"/>
      <c r="AO16" s="588"/>
      <c r="AP16" s="575"/>
      <c r="AQ16" s="588"/>
      <c r="AR16" s="575"/>
      <c r="AS16" s="588"/>
      <c r="AT16" s="575"/>
      <c r="AU16" s="588"/>
      <c r="AV16" s="575"/>
      <c r="AW16" s="588"/>
      <c r="AX16" s="575"/>
      <c r="AY16" s="588"/>
      <c r="AZ16" s="575"/>
      <c r="BA16" s="588"/>
      <c r="BB16" s="502"/>
      <c r="BC16" s="215"/>
      <c r="BD16" s="594">
        <v>8</v>
      </c>
      <c r="BE16" s="381" t="s">
        <v>538</v>
      </c>
      <c r="BF16" s="82" t="s">
        <v>81</v>
      </c>
      <c r="BG16" s="80"/>
      <c r="BH16" s="606"/>
      <c r="BI16" s="80" t="str">
        <f>IF(OR(ISBLANK(F16),ISBLANK(H16)),"N/A",IF(ABS((H16-F16)/F16)&gt;1,"&gt; 100%","ok"))</f>
        <v>N/A</v>
      </c>
      <c r="BJ16" s="606"/>
      <c r="BK16" s="80" t="str">
        <f>IF(OR(ISBLANK(H16),ISBLANK(J16)),"N/A",IF(ABS((J16-H16)/H16)&gt;0.25,"&gt; 25%","ok"))</f>
        <v>N/A</v>
      </c>
      <c r="BL16" s="80"/>
      <c r="BM16" s="80" t="str">
        <f>IF(OR(ISBLANK(J16),ISBLANK(L16)),"N/A",IF(ABS((L16-J16)/J16)&gt;0.25,"&gt; 25%","ok"))</f>
        <v>N/A</v>
      </c>
      <c r="BN16" s="80"/>
      <c r="BO16" s="80" t="str">
        <f>IF(OR(ISBLANK(L16),ISBLANK(N16)),"N/A",IF(ABS((N16-L16)/L16)&gt;0.25,"&gt; 25%","ok"))</f>
        <v>N/A</v>
      </c>
      <c r="BP16" s="80"/>
      <c r="BQ16" s="80" t="str">
        <f>IF(OR(ISBLANK(N16),ISBLANK(P16)),"N/A",IF(ABS((P16-N16)/N16)&gt;0.25,"&gt; 25%","ok"))</f>
        <v>N/A</v>
      </c>
      <c r="BR16" s="80"/>
      <c r="BS16" s="80" t="str">
        <f>IF(OR(ISBLANK(P16),ISBLANK(R16)),"N/A",IF(ABS((R16-P16)/P16)&gt;0.25,"&gt; 25%","ok"))</f>
        <v>N/A</v>
      </c>
      <c r="BT16" s="80"/>
      <c r="BU16" s="80" t="str">
        <f>IF(OR(ISBLANK(R16),ISBLANK(T16)),"N/A",IF(ABS((T16-R16)/R16)&gt;0.25,"&gt; 25%","ok"))</f>
        <v>N/A</v>
      </c>
      <c r="BV16" s="80"/>
      <c r="BW16" s="80" t="str">
        <f>IF(OR(ISBLANK(T16),ISBLANK(V16)),"N/A",IF(ABS((V16-T16)/T16)&gt;0.25,"&gt; 25%","ok"))</f>
        <v>N/A</v>
      </c>
      <c r="BX16" s="80"/>
      <c r="BY16" s="80" t="str">
        <f>IF(OR(ISBLANK(V16),ISBLANK(X16)),"N/A",IF(ABS((X16-V16)/V16)&gt;0.25,"&gt; 25%","ok"))</f>
        <v>N/A</v>
      </c>
      <c r="BZ16" s="80"/>
      <c r="CA16" s="80" t="str">
        <f>IF(OR(ISBLANK(X16),ISBLANK(Z16)),"N/A",IF(ABS((Z16-X16)/X16)&gt;0.25,"&gt; 25%","ok"))</f>
        <v>N/A</v>
      </c>
      <c r="CB16" s="80"/>
      <c r="CC16" s="80" t="str">
        <f>IF(OR(ISBLANK(Z16),ISBLANK(AB16)),"N/A",IF(ABS((AB16-Z16)/Z16)&gt;0.25,"&gt; 25%","ok"))</f>
        <v>N/A</v>
      </c>
      <c r="CD16" s="80"/>
      <c r="CE16" s="80" t="str">
        <f>IF(OR(ISBLANK(AB16),ISBLANK(AD16)),"N/A",IF(ABS((AD16-AB16)/AB16)&gt;0.25,"&gt; 25%","ok"))</f>
        <v>N/A</v>
      </c>
      <c r="CF16" s="80"/>
      <c r="CG16" s="80" t="str">
        <f>IF(OR(ISBLANK(AD16),ISBLANK(AF16)),"N/A",IF(ABS((AF16-AD16)/AD16)&gt;0.25,"&gt; 25%","ok"))</f>
        <v>N/A</v>
      </c>
      <c r="CH16" s="80"/>
      <c r="CI16" s="80" t="str">
        <f>IF(OR(ISBLANK(AF16),ISBLANK(AH16)),"N/A",IF(ABS((AH16-AF16)/AF16)&gt;0.25,"&gt; 25%","ok"))</f>
        <v>N/A</v>
      </c>
      <c r="CJ16" s="80"/>
      <c r="CK16" s="80" t="str">
        <f>IF(OR(ISBLANK(AH16),ISBLANK(AJ16)),"N/A",IF(ABS((AJ16-AH16)/AH16)&gt;0.25,"&gt; 25%","ok"))</f>
        <v>N/A</v>
      </c>
      <c r="CL16" s="80"/>
      <c r="CM16" s="80" t="str">
        <f>IF(OR(ISBLANK(AJ16),ISBLANK(AL16)),"N/A",IF(ABS((AL16-AJ16)/AJ16)&gt;0.25,"&gt; 25%","ok"))</f>
        <v>N/A</v>
      </c>
      <c r="CN16" s="80"/>
      <c r="CO16" s="80" t="str">
        <f>IF(OR(ISBLANK(AL16),ISBLANK(AN16)),"N/A",IF(ABS((AN16-AL16)/AL16)&gt;0.25,"&gt; 25%","ok"))</f>
        <v>N/A</v>
      </c>
      <c r="CP16" s="80"/>
      <c r="CQ16" s="80" t="str">
        <f>IF(OR(ISBLANK(AN16),ISBLANK(AP16)),"N/A",IF(ABS((AP16-AN16)/AN16)&gt;0.25,"&gt; 25%","ok"))</f>
        <v>N/A</v>
      </c>
      <c r="CR16" s="80"/>
      <c r="CS16" s="80" t="str">
        <f>IF(OR(ISBLANK(AP16),ISBLANK(AR16)),"N/A",IF(ABS((AR16-AP16)/AP16)&gt;0.25,"&gt; 25%","ok"))</f>
        <v>N/A</v>
      </c>
      <c r="CT16" s="80"/>
      <c r="CU16" s="80" t="str">
        <f>IF(OR(ISBLANK(AR16),ISBLANK(AT16)),"N/A",IF(ABS((AT16-AR16)/AR16)&gt;0.25,"&gt; 25%","ok"))</f>
        <v>N/A</v>
      </c>
      <c r="CV16" s="80"/>
      <c r="CW16" s="80" t="str">
        <f>IF(OR(ISBLANK(AT16),ISBLANK(AV16)),"N/A",IF(ABS((AV16-AT16)/AT16)&gt;0.25,"&gt; 25%","ok"))</f>
        <v>N/A</v>
      </c>
      <c r="CX16" s="80"/>
      <c r="CY16" s="80" t="str">
        <f>IF(OR(ISBLANK(AV16),ISBLANK(AX16)),"N/A",IF(ABS((AX16-AV16)/AV16)&gt;0.25,"&gt; 25%","ok"))</f>
        <v>N/A</v>
      </c>
      <c r="CZ16" s="80"/>
      <c r="DA16" s="80" t="str">
        <f t="shared" si="1"/>
        <v>N/A</v>
      </c>
    </row>
    <row r="17" spans="1:105" s="378" customFormat="1" ht="15" customHeight="1">
      <c r="A17" s="212"/>
      <c r="B17" s="365">
        <v>258</v>
      </c>
      <c r="C17" s="255">
        <v>9</v>
      </c>
      <c r="D17" s="380" t="s">
        <v>505</v>
      </c>
      <c r="E17" s="255" t="s">
        <v>313</v>
      </c>
      <c r="F17" s="575"/>
      <c r="G17" s="588"/>
      <c r="H17" s="575"/>
      <c r="I17" s="588"/>
      <c r="J17" s="575"/>
      <c r="K17" s="588"/>
      <c r="L17" s="575"/>
      <c r="M17" s="588"/>
      <c r="N17" s="575"/>
      <c r="O17" s="588"/>
      <c r="P17" s="575"/>
      <c r="Q17" s="588"/>
      <c r="R17" s="575"/>
      <c r="S17" s="588"/>
      <c r="T17" s="575"/>
      <c r="U17" s="588"/>
      <c r="V17" s="575"/>
      <c r="W17" s="588"/>
      <c r="X17" s="575"/>
      <c r="Y17" s="588"/>
      <c r="Z17" s="575"/>
      <c r="AA17" s="588"/>
      <c r="AB17" s="575"/>
      <c r="AC17" s="588"/>
      <c r="AD17" s="575"/>
      <c r="AE17" s="588"/>
      <c r="AF17" s="575"/>
      <c r="AG17" s="588"/>
      <c r="AH17" s="575"/>
      <c r="AI17" s="588"/>
      <c r="AJ17" s="575"/>
      <c r="AK17" s="588"/>
      <c r="AL17" s="575"/>
      <c r="AM17" s="588"/>
      <c r="AN17" s="575"/>
      <c r="AO17" s="588"/>
      <c r="AP17" s="575"/>
      <c r="AQ17" s="588"/>
      <c r="AR17" s="575"/>
      <c r="AS17" s="588"/>
      <c r="AT17" s="575"/>
      <c r="AU17" s="588"/>
      <c r="AV17" s="575"/>
      <c r="AW17" s="588"/>
      <c r="AX17" s="575"/>
      <c r="AY17" s="588"/>
      <c r="AZ17" s="575"/>
      <c r="BA17" s="588"/>
      <c r="BB17" s="502"/>
      <c r="BC17" s="215"/>
      <c r="BD17" s="594">
        <v>9</v>
      </c>
      <c r="BE17" s="381" t="s">
        <v>505</v>
      </c>
      <c r="BF17" s="82" t="s">
        <v>81</v>
      </c>
      <c r="BG17" s="80" t="s">
        <v>85</v>
      </c>
      <c r="BH17" s="606"/>
      <c r="BI17" s="80" t="str">
        <f t="shared" si="2"/>
        <v>N/A</v>
      </c>
      <c r="BJ17" s="606"/>
      <c r="BK17" s="80" t="str">
        <f t="shared" si="17"/>
        <v>N/A</v>
      </c>
      <c r="BL17" s="80"/>
      <c r="BM17" s="80" t="str">
        <f t="shared" si="18"/>
        <v>N/A</v>
      </c>
      <c r="BN17" s="80"/>
      <c r="BO17" s="80" t="str">
        <f t="shared" si="19"/>
        <v>N/A</v>
      </c>
      <c r="BP17" s="80"/>
      <c r="BQ17" s="80" t="str">
        <f t="shared" si="20"/>
        <v>N/A</v>
      </c>
      <c r="BR17" s="80"/>
      <c r="BS17" s="80" t="str">
        <f t="shared" si="3"/>
        <v>N/A</v>
      </c>
      <c r="BT17" s="80"/>
      <c r="BU17" s="80" t="str">
        <f t="shared" si="4"/>
        <v>N/A</v>
      </c>
      <c r="BV17" s="80"/>
      <c r="BW17" s="80" t="str">
        <f t="shared" si="5"/>
        <v>N/A</v>
      </c>
      <c r="BX17" s="80"/>
      <c r="BY17" s="80" t="str">
        <f t="shared" si="6"/>
        <v>N/A</v>
      </c>
      <c r="BZ17" s="80"/>
      <c r="CA17" s="80" t="str">
        <f t="shared" si="7"/>
        <v>N/A</v>
      </c>
      <c r="CB17" s="80"/>
      <c r="CC17" s="80" t="str">
        <f t="shared" si="8"/>
        <v>N/A</v>
      </c>
      <c r="CD17" s="80"/>
      <c r="CE17" s="80" t="str">
        <f t="shared" si="9"/>
        <v>N/A</v>
      </c>
      <c r="CF17" s="80"/>
      <c r="CG17" s="80" t="str">
        <f t="shared" si="10"/>
        <v>N/A</v>
      </c>
      <c r="CH17" s="80"/>
      <c r="CI17" s="80" t="str">
        <f t="shared" si="11"/>
        <v>N/A</v>
      </c>
      <c r="CJ17" s="80"/>
      <c r="CK17" s="80" t="str">
        <f t="shared" si="12"/>
        <v>N/A</v>
      </c>
      <c r="CL17" s="80"/>
      <c r="CM17" s="80" t="str">
        <f t="shared" si="13"/>
        <v>N/A</v>
      </c>
      <c r="CN17" s="80"/>
      <c r="CO17" s="80" t="str">
        <f t="shared" si="14"/>
        <v>N/A</v>
      </c>
      <c r="CP17" s="80"/>
      <c r="CQ17" s="80" t="str">
        <f t="shared" si="0"/>
        <v>N/A</v>
      </c>
      <c r="CR17" s="80"/>
      <c r="CS17" s="80" t="str">
        <f t="shared" si="15"/>
        <v>N/A</v>
      </c>
      <c r="CT17" s="80"/>
      <c r="CU17" s="80" t="str">
        <f t="shared" si="16"/>
        <v>N/A</v>
      </c>
      <c r="CV17" s="80"/>
      <c r="CW17" s="80" t="str">
        <f t="shared" si="21"/>
        <v>N/A</v>
      </c>
      <c r="CX17" s="80"/>
      <c r="CY17" s="80" t="str">
        <f t="shared" si="22"/>
        <v>N/A</v>
      </c>
      <c r="CZ17" s="80"/>
      <c r="DA17" s="80" t="str">
        <f t="shared" si="1"/>
        <v>N/A</v>
      </c>
    </row>
    <row r="18" spans="1:105" s="378" customFormat="1" ht="15" customHeight="1">
      <c r="A18" s="212"/>
      <c r="B18" s="365">
        <v>265</v>
      </c>
      <c r="C18" s="255">
        <v>10</v>
      </c>
      <c r="D18" s="380" t="s">
        <v>535</v>
      </c>
      <c r="E18" s="255" t="s">
        <v>313</v>
      </c>
      <c r="F18" s="575"/>
      <c r="G18" s="588"/>
      <c r="H18" s="575"/>
      <c r="I18" s="588"/>
      <c r="J18" s="575"/>
      <c r="K18" s="588"/>
      <c r="L18" s="575"/>
      <c r="M18" s="588"/>
      <c r="N18" s="575"/>
      <c r="O18" s="588"/>
      <c r="P18" s="575"/>
      <c r="Q18" s="588"/>
      <c r="R18" s="575"/>
      <c r="S18" s="588"/>
      <c r="T18" s="575"/>
      <c r="U18" s="588"/>
      <c r="V18" s="575"/>
      <c r="W18" s="588"/>
      <c r="X18" s="575"/>
      <c r="Y18" s="588"/>
      <c r="Z18" s="575"/>
      <c r="AA18" s="588"/>
      <c r="AB18" s="575"/>
      <c r="AC18" s="588"/>
      <c r="AD18" s="575"/>
      <c r="AE18" s="588"/>
      <c r="AF18" s="575"/>
      <c r="AG18" s="588"/>
      <c r="AH18" s="575"/>
      <c r="AI18" s="588"/>
      <c r="AJ18" s="575"/>
      <c r="AK18" s="588"/>
      <c r="AL18" s="575"/>
      <c r="AM18" s="588"/>
      <c r="AN18" s="575"/>
      <c r="AO18" s="588"/>
      <c r="AP18" s="575"/>
      <c r="AQ18" s="588"/>
      <c r="AR18" s="575"/>
      <c r="AS18" s="588"/>
      <c r="AT18" s="575"/>
      <c r="AU18" s="588"/>
      <c r="AV18" s="575"/>
      <c r="AW18" s="588"/>
      <c r="AX18" s="575"/>
      <c r="AY18" s="588"/>
      <c r="AZ18" s="575"/>
      <c r="BA18" s="588"/>
      <c r="BB18" s="502"/>
      <c r="BC18" s="215"/>
      <c r="BD18" s="594">
        <v>10</v>
      </c>
      <c r="BE18" s="381" t="s">
        <v>535</v>
      </c>
      <c r="BF18" s="82" t="s">
        <v>81</v>
      </c>
      <c r="BG18" s="80"/>
      <c r="BH18" s="606"/>
      <c r="BI18" s="80" t="str">
        <f>IF(OR(ISBLANK(F18),ISBLANK(H18)),"N/A",IF(ABS((H18-F18)/F18)&gt;1,"&gt; 100%","ok"))</f>
        <v>N/A</v>
      </c>
      <c r="BJ18" s="606"/>
      <c r="BK18" s="80" t="str">
        <f>IF(OR(ISBLANK(H18),ISBLANK(J18)),"N/A",IF(ABS((J18-H18)/H18)&gt;0.25,"&gt; 25%","ok"))</f>
        <v>N/A</v>
      </c>
      <c r="BL18" s="80"/>
      <c r="BM18" s="80" t="str">
        <f>IF(OR(ISBLANK(J18),ISBLANK(L18)),"N/A",IF(ABS((L18-J18)/J18)&gt;0.25,"&gt; 25%","ok"))</f>
        <v>N/A</v>
      </c>
      <c r="BN18" s="80"/>
      <c r="BO18" s="80" t="str">
        <f>IF(OR(ISBLANK(L18),ISBLANK(N18)),"N/A",IF(ABS((N18-L18)/L18)&gt;0.25,"&gt; 25%","ok"))</f>
        <v>N/A</v>
      </c>
      <c r="BP18" s="80"/>
      <c r="BQ18" s="80" t="str">
        <f>IF(OR(ISBLANK(N18),ISBLANK(P18)),"N/A",IF(ABS((P18-N18)/N18)&gt;0.25,"&gt; 25%","ok"))</f>
        <v>N/A</v>
      </c>
      <c r="BR18" s="80"/>
      <c r="BS18" s="80" t="str">
        <f>IF(OR(ISBLANK(P18),ISBLANK(R18)),"N/A",IF(ABS((R18-P18)/P18)&gt;0.25,"&gt; 25%","ok"))</f>
        <v>N/A</v>
      </c>
      <c r="BT18" s="80"/>
      <c r="BU18" s="80" t="str">
        <f>IF(OR(ISBLANK(R18),ISBLANK(T18)),"N/A",IF(ABS((T18-R18)/R18)&gt;0.25,"&gt; 25%","ok"))</f>
        <v>N/A</v>
      </c>
      <c r="BV18" s="80"/>
      <c r="BW18" s="80" t="str">
        <f>IF(OR(ISBLANK(T18),ISBLANK(V18)),"N/A",IF(ABS((V18-T18)/T18)&gt;0.25,"&gt; 25%","ok"))</f>
        <v>N/A</v>
      </c>
      <c r="BX18" s="80"/>
      <c r="BY18" s="80" t="str">
        <f>IF(OR(ISBLANK(V18),ISBLANK(X18)),"N/A",IF(ABS((X18-V18)/V18)&gt;0.25,"&gt; 25%","ok"))</f>
        <v>N/A</v>
      </c>
      <c r="BZ18" s="80"/>
      <c r="CA18" s="80" t="str">
        <f>IF(OR(ISBLANK(X18),ISBLANK(Z18)),"N/A",IF(ABS((Z18-X18)/X18)&gt;0.25,"&gt; 25%","ok"))</f>
        <v>N/A</v>
      </c>
      <c r="CB18" s="80"/>
      <c r="CC18" s="80" t="str">
        <f>IF(OR(ISBLANK(Z18),ISBLANK(AB18)),"N/A",IF(ABS((AB18-Z18)/Z18)&gt;0.25,"&gt; 25%","ok"))</f>
        <v>N/A</v>
      </c>
      <c r="CD18" s="80"/>
      <c r="CE18" s="80" t="str">
        <f>IF(OR(ISBLANK(AB18),ISBLANK(AD18)),"N/A",IF(ABS((AD18-AB18)/AB18)&gt;0.25,"&gt; 25%","ok"))</f>
        <v>N/A</v>
      </c>
      <c r="CF18" s="80"/>
      <c r="CG18" s="80" t="str">
        <f>IF(OR(ISBLANK(AD18),ISBLANK(AF18)),"N/A",IF(ABS((AF18-AD18)/AD18)&gt;0.25,"&gt; 25%","ok"))</f>
        <v>N/A</v>
      </c>
      <c r="CH18" s="80"/>
      <c r="CI18" s="80" t="str">
        <f>IF(OR(ISBLANK(AF18),ISBLANK(AH18)),"N/A",IF(ABS((AH18-AF18)/AF18)&gt;0.25,"&gt; 25%","ok"))</f>
        <v>N/A</v>
      </c>
      <c r="CJ18" s="80"/>
      <c r="CK18" s="80" t="str">
        <f>IF(OR(ISBLANK(AH18),ISBLANK(AJ18)),"N/A",IF(ABS((AJ18-AH18)/AH18)&gt;0.25,"&gt; 25%","ok"))</f>
        <v>N/A</v>
      </c>
      <c r="CL18" s="80"/>
      <c r="CM18" s="80" t="str">
        <f>IF(OR(ISBLANK(AJ18),ISBLANK(AL18)),"N/A",IF(ABS((AL18-AJ18)/AJ18)&gt;0.25,"&gt; 25%","ok"))</f>
        <v>N/A</v>
      </c>
      <c r="CN18" s="80"/>
      <c r="CO18" s="80" t="str">
        <f>IF(OR(ISBLANK(AL18),ISBLANK(AN18)),"N/A",IF(ABS((AN18-AL18)/AL18)&gt;0.25,"&gt; 25%","ok"))</f>
        <v>N/A</v>
      </c>
      <c r="CP18" s="80"/>
      <c r="CQ18" s="80" t="str">
        <f>IF(OR(ISBLANK(AN18),ISBLANK(AP18)),"N/A",IF(ABS((AP18-AN18)/AN18)&gt;0.25,"&gt; 25%","ok"))</f>
        <v>N/A</v>
      </c>
      <c r="CR18" s="80"/>
      <c r="CS18" s="80" t="str">
        <f>IF(OR(ISBLANK(AP18),ISBLANK(AR18)),"N/A",IF(ABS((AR18-AP18)/AP18)&gt;0.25,"&gt; 25%","ok"))</f>
        <v>N/A</v>
      </c>
      <c r="CT18" s="80"/>
      <c r="CU18" s="80" t="str">
        <f>IF(OR(ISBLANK(AR18),ISBLANK(AT18)),"N/A",IF(ABS((AT18-AR18)/AR18)&gt;0.25,"&gt; 25%","ok"))</f>
        <v>N/A</v>
      </c>
      <c r="CV18" s="80"/>
      <c r="CW18" s="80" t="str">
        <f>IF(OR(ISBLANK(AT18),ISBLANK(AV18)),"N/A",IF(ABS((AV18-AT18)/AT18)&gt;0.25,"&gt; 25%","ok"))</f>
        <v>N/A</v>
      </c>
      <c r="CX18" s="80"/>
      <c r="CY18" s="80" t="str">
        <f>IF(OR(ISBLANK(AV18),ISBLANK(AX18)),"N/A",IF(ABS((AX18-AV18)/AV18)&gt;0.25,"&gt; 25%","ok"))</f>
        <v>N/A</v>
      </c>
      <c r="CZ18" s="80"/>
      <c r="DA18" s="80" t="str">
        <f t="shared" si="1"/>
        <v>N/A</v>
      </c>
    </row>
    <row r="19" spans="1:105" s="378" customFormat="1" ht="21" customHeight="1">
      <c r="A19" s="212"/>
      <c r="B19" s="365">
        <v>259</v>
      </c>
      <c r="C19" s="255">
        <v>11</v>
      </c>
      <c r="D19" s="446" t="s">
        <v>624</v>
      </c>
      <c r="E19" s="255" t="s">
        <v>313</v>
      </c>
      <c r="F19" s="575"/>
      <c r="G19" s="588"/>
      <c r="H19" s="575"/>
      <c r="I19" s="588"/>
      <c r="J19" s="575"/>
      <c r="K19" s="588"/>
      <c r="L19" s="575"/>
      <c r="M19" s="588"/>
      <c r="N19" s="575"/>
      <c r="O19" s="588"/>
      <c r="P19" s="575"/>
      <c r="Q19" s="588"/>
      <c r="R19" s="575"/>
      <c r="S19" s="588"/>
      <c r="T19" s="575"/>
      <c r="U19" s="588"/>
      <c r="V19" s="575"/>
      <c r="W19" s="588"/>
      <c r="X19" s="575"/>
      <c r="Y19" s="588"/>
      <c r="Z19" s="575"/>
      <c r="AA19" s="588"/>
      <c r="AB19" s="575"/>
      <c r="AC19" s="588"/>
      <c r="AD19" s="575"/>
      <c r="AE19" s="588"/>
      <c r="AF19" s="575"/>
      <c r="AG19" s="588"/>
      <c r="AH19" s="575"/>
      <c r="AI19" s="588"/>
      <c r="AJ19" s="575"/>
      <c r="AK19" s="588"/>
      <c r="AL19" s="575"/>
      <c r="AM19" s="588"/>
      <c r="AN19" s="575"/>
      <c r="AO19" s="588"/>
      <c r="AP19" s="575"/>
      <c r="AQ19" s="588"/>
      <c r="AR19" s="575"/>
      <c r="AS19" s="588"/>
      <c r="AT19" s="575"/>
      <c r="AU19" s="588"/>
      <c r="AV19" s="575"/>
      <c r="AW19" s="588"/>
      <c r="AX19" s="575"/>
      <c r="AY19" s="588"/>
      <c r="AZ19" s="575"/>
      <c r="BA19" s="588"/>
      <c r="BB19" s="502"/>
      <c r="BC19" s="215"/>
      <c r="BD19" s="594">
        <v>11</v>
      </c>
      <c r="BE19" s="449" t="s">
        <v>593</v>
      </c>
      <c r="BF19" s="82" t="s">
        <v>81</v>
      </c>
      <c r="BG19" s="80" t="s">
        <v>85</v>
      </c>
      <c r="BH19" s="606"/>
      <c r="BI19" s="80" t="str">
        <f t="shared" si="2"/>
        <v>N/A</v>
      </c>
      <c r="BJ19" s="606"/>
      <c r="BK19" s="80" t="str">
        <f t="shared" si="17"/>
        <v>N/A</v>
      </c>
      <c r="BL19" s="80"/>
      <c r="BM19" s="80" t="str">
        <f t="shared" si="18"/>
        <v>N/A</v>
      </c>
      <c r="BN19" s="80"/>
      <c r="BO19" s="80" t="str">
        <f t="shared" si="19"/>
        <v>N/A</v>
      </c>
      <c r="BP19" s="80"/>
      <c r="BQ19" s="80" t="str">
        <f t="shared" si="20"/>
        <v>N/A</v>
      </c>
      <c r="BR19" s="80"/>
      <c r="BS19" s="80" t="str">
        <f t="shared" si="3"/>
        <v>N/A</v>
      </c>
      <c r="BT19" s="80"/>
      <c r="BU19" s="80" t="str">
        <f t="shared" si="4"/>
        <v>N/A</v>
      </c>
      <c r="BV19" s="80"/>
      <c r="BW19" s="80" t="str">
        <f t="shared" si="5"/>
        <v>N/A</v>
      </c>
      <c r="BX19" s="80"/>
      <c r="BY19" s="80" t="str">
        <f t="shared" si="6"/>
        <v>N/A</v>
      </c>
      <c r="BZ19" s="80"/>
      <c r="CA19" s="80" t="str">
        <f t="shared" si="7"/>
        <v>N/A</v>
      </c>
      <c r="CB19" s="80"/>
      <c r="CC19" s="80" t="str">
        <f t="shared" si="8"/>
        <v>N/A</v>
      </c>
      <c r="CD19" s="80"/>
      <c r="CE19" s="80" t="str">
        <f t="shared" si="9"/>
        <v>N/A</v>
      </c>
      <c r="CF19" s="80"/>
      <c r="CG19" s="80" t="str">
        <f t="shared" si="10"/>
        <v>N/A</v>
      </c>
      <c r="CH19" s="80"/>
      <c r="CI19" s="80" t="str">
        <f t="shared" si="11"/>
        <v>N/A</v>
      </c>
      <c r="CJ19" s="80"/>
      <c r="CK19" s="80" t="str">
        <f t="shared" si="12"/>
        <v>N/A</v>
      </c>
      <c r="CL19" s="80"/>
      <c r="CM19" s="80" t="str">
        <f t="shared" si="13"/>
        <v>N/A</v>
      </c>
      <c r="CN19" s="80"/>
      <c r="CO19" s="80" t="str">
        <f t="shared" si="14"/>
        <v>N/A</v>
      </c>
      <c r="CP19" s="80"/>
      <c r="CQ19" s="80" t="str">
        <f t="shared" si="0"/>
        <v>N/A</v>
      </c>
      <c r="CR19" s="80"/>
      <c r="CS19" s="80" t="str">
        <f t="shared" si="15"/>
        <v>N/A</v>
      </c>
      <c r="CT19" s="80"/>
      <c r="CU19" s="80" t="str">
        <f t="shared" si="16"/>
        <v>N/A</v>
      </c>
      <c r="CV19" s="80"/>
      <c r="CW19" s="80" t="str">
        <f t="shared" si="21"/>
        <v>N/A</v>
      </c>
      <c r="CX19" s="80"/>
      <c r="CY19" s="80" t="str">
        <f t="shared" si="22"/>
        <v>N/A</v>
      </c>
      <c r="CZ19" s="80"/>
      <c r="DA19" s="80" t="str">
        <f t="shared" si="1"/>
        <v>N/A</v>
      </c>
    </row>
    <row r="20" spans="1:105" s="378" customFormat="1" ht="15" customHeight="1">
      <c r="A20" s="212"/>
      <c r="B20" s="365">
        <v>266</v>
      </c>
      <c r="C20" s="255">
        <v>12</v>
      </c>
      <c r="D20" s="666" t="s">
        <v>536</v>
      </c>
      <c r="E20" s="255" t="s">
        <v>313</v>
      </c>
      <c r="F20" s="575"/>
      <c r="G20" s="588"/>
      <c r="H20" s="575"/>
      <c r="I20" s="588"/>
      <c r="J20" s="575"/>
      <c r="K20" s="588"/>
      <c r="L20" s="575"/>
      <c r="M20" s="588"/>
      <c r="N20" s="575"/>
      <c r="O20" s="588"/>
      <c r="P20" s="575"/>
      <c r="Q20" s="588"/>
      <c r="R20" s="575"/>
      <c r="S20" s="588"/>
      <c r="T20" s="575"/>
      <c r="U20" s="588"/>
      <c r="V20" s="575"/>
      <c r="W20" s="588"/>
      <c r="X20" s="575"/>
      <c r="Y20" s="588"/>
      <c r="Z20" s="575"/>
      <c r="AA20" s="588"/>
      <c r="AB20" s="575"/>
      <c r="AC20" s="588"/>
      <c r="AD20" s="575"/>
      <c r="AE20" s="588"/>
      <c r="AF20" s="575"/>
      <c r="AG20" s="588"/>
      <c r="AH20" s="575"/>
      <c r="AI20" s="588"/>
      <c r="AJ20" s="575"/>
      <c r="AK20" s="588"/>
      <c r="AL20" s="575"/>
      <c r="AM20" s="588"/>
      <c r="AN20" s="575"/>
      <c r="AO20" s="588"/>
      <c r="AP20" s="575"/>
      <c r="AQ20" s="588"/>
      <c r="AR20" s="575"/>
      <c r="AS20" s="588"/>
      <c r="AT20" s="575"/>
      <c r="AU20" s="588"/>
      <c r="AV20" s="575"/>
      <c r="AW20" s="588"/>
      <c r="AX20" s="575"/>
      <c r="AY20" s="588"/>
      <c r="AZ20" s="575"/>
      <c r="BA20" s="588"/>
      <c r="BB20" s="502"/>
      <c r="BC20" s="215"/>
      <c r="BD20" s="594">
        <v>12</v>
      </c>
      <c r="BE20" s="382" t="s">
        <v>536</v>
      </c>
      <c r="BF20" s="82" t="s">
        <v>81</v>
      </c>
      <c r="BG20" s="80"/>
      <c r="BH20" s="606"/>
      <c r="BI20" s="80" t="str">
        <f>IF(OR(ISBLANK(F20),ISBLANK(H20)),"N/A",IF(ABS((H20-F20)/F20)&gt;1,"&gt; 100%","ok"))</f>
        <v>N/A</v>
      </c>
      <c r="BJ20" s="606"/>
      <c r="BK20" s="80" t="str">
        <f>IF(OR(ISBLANK(H20),ISBLANK(J20)),"N/A",IF(ABS((J20-H20)/H20)&gt;0.25,"&gt; 25%","ok"))</f>
        <v>N/A</v>
      </c>
      <c r="BL20" s="80"/>
      <c r="BM20" s="80" t="str">
        <f>IF(OR(ISBLANK(J20),ISBLANK(L20)),"N/A",IF(ABS((L20-J20)/J20)&gt;0.25,"&gt; 25%","ok"))</f>
        <v>N/A</v>
      </c>
      <c r="BN20" s="80"/>
      <c r="BO20" s="80" t="str">
        <f>IF(OR(ISBLANK(L20),ISBLANK(N20)),"N/A",IF(ABS((N20-L20)/L20)&gt;0.25,"&gt; 25%","ok"))</f>
        <v>N/A</v>
      </c>
      <c r="BP20" s="80"/>
      <c r="BQ20" s="80" t="str">
        <f>IF(OR(ISBLANK(N20),ISBLANK(P20)),"N/A",IF(ABS((P20-N20)/N20)&gt;0.25,"&gt; 25%","ok"))</f>
        <v>N/A</v>
      </c>
      <c r="BR20" s="80"/>
      <c r="BS20" s="80" t="str">
        <f>IF(OR(ISBLANK(P20),ISBLANK(R20)),"N/A",IF(ABS((R20-P20)/P20)&gt;0.25,"&gt; 25%","ok"))</f>
        <v>N/A</v>
      </c>
      <c r="BT20" s="80"/>
      <c r="BU20" s="80" t="str">
        <f>IF(OR(ISBLANK(R20),ISBLANK(T20)),"N/A",IF(ABS((T20-R20)/R20)&gt;0.25,"&gt; 25%","ok"))</f>
        <v>N/A</v>
      </c>
      <c r="BV20" s="80"/>
      <c r="BW20" s="80" t="str">
        <f>IF(OR(ISBLANK(T20),ISBLANK(V20)),"N/A",IF(ABS((V20-T20)/T20)&gt;0.25,"&gt; 25%","ok"))</f>
        <v>N/A</v>
      </c>
      <c r="BX20" s="80"/>
      <c r="BY20" s="80" t="str">
        <f>IF(OR(ISBLANK(V20),ISBLANK(X20)),"N/A",IF(ABS((X20-V20)/V20)&gt;0.25,"&gt; 25%","ok"))</f>
        <v>N/A</v>
      </c>
      <c r="BZ20" s="80"/>
      <c r="CA20" s="80" t="str">
        <f>IF(OR(ISBLANK(X20),ISBLANK(Z20)),"N/A",IF(ABS((Z20-X20)/X20)&gt;0.25,"&gt; 25%","ok"))</f>
        <v>N/A</v>
      </c>
      <c r="CB20" s="80"/>
      <c r="CC20" s="80" t="str">
        <f>IF(OR(ISBLANK(Z20),ISBLANK(AB20)),"N/A",IF(ABS((AB20-Z20)/Z20)&gt;0.25,"&gt; 25%","ok"))</f>
        <v>N/A</v>
      </c>
      <c r="CD20" s="80"/>
      <c r="CE20" s="80" t="str">
        <f>IF(OR(ISBLANK(AB20),ISBLANK(AD20)),"N/A",IF(ABS((AD20-AB20)/AB20)&gt;0.25,"&gt; 25%","ok"))</f>
        <v>N/A</v>
      </c>
      <c r="CF20" s="80"/>
      <c r="CG20" s="80" t="str">
        <f>IF(OR(ISBLANK(AD20),ISBLANK(AF20)),"N/A",IF(ABS((AF20-AD20)/AD20)&gt;0.25,"&gt; 25%","ok"))</f>
        <v>N/A</v>
      </c>
      <c r="CH20" s="80"/>
      <c r="CI20" s="80" t="str">
        <f>IF(OR(ISBLANK(AF20),ISBLANK(AH20)),"N/A",IF(ABS((AH20-AF20)/AF20)&gt;0.25,"&gt; 25%","ok"))</f>
        <v>N/A</v>
      </c>
      <c r="CJ20" s="80"/>
      <c r="CK20" s="80" t="str">
        <f>IF(OR(ISBLANK(AH20),ISBLANK(AJ20)),"N/A",IF(ABS((AJ20-AH20)/AH20)&gt;0.25,"&gt; 25%","ok"))</f>
        <v>N/A</v>
      </c>
      <c r="CL20" s="80"/>
      <c r="CM20" s="80" t="str">
        <f>IF(OR(ISBLANK(AJ20),ISBLANK(AL20)),"N/A",IF(ABS((AL20-AJ20)/AJ20)&gt;0.25,"&gt; 25%","ok"))</f>
        <v>N/A</v>
      </c>
      <c r="CN20" s="80"/>
      <c r="CO20" s="80" t="str">
        <f>IF(OR(ISBLANK(AL20),ISBLANK(AN20)),"N/A",IF(ABS((AN20-AL20)/AL20)&gt;0.25,"&gt; 25%","ok"))</f>
        <v>N/A</v>
      </c>
      <c r="CP20" s="80"/>
      <c r="CQ20" s="80" t="str">
        <f>IF(OR(ISBLANK(AN20),ISBLANK(AP20)),"N/A",IF(ABS((AP20-AN20)/AN20)&gt;0.25,"&gt; 25%","ok"))</f>
        <v>N/A</v>
      </c>
      <c r="CR20" s="80"/>
      <c r="CS20" s="80" t="str">
        <f>IF(OR(ISBLANK(AP20),ISBLANK(AR20)),"N/A",IF(ABS((AR20-AP20)/AP20)&gt;0.25,"&gt; 25%","ok"))</f>
        <v>N/A</v>
      </c>
      <c r="CT20" s="80"/>
      <c r="CU20" s="80" t="str">
        <f>IF(OR(ISBLANK(AR20),ISBLANK(AT20)),"N/A",IF(ABS((AT20-AR20)/AR20)&gt;0.25,"&gt; 25%","ok"))</f>
        <v>N/A</v>
      </c>
      <c r="CV20" s="80"/>
      <c r="CW20" s="80" t="str">
        <f>IF(OR(ISBLANK(AT20),ISBLANK(AV20)),"N/A",IF(ABS((AV20-AT20)/AT20)&gt;0.25,"&gt; 25%","ok"))</f>
        <v>N/A</v>
      </c>
      <c r="CX20" s="80"/>
      <c r="CY20" s="80" t="str">
        <f>IF(OR(ISBLANK(AV20),ISBLANK(AX20)),"N/A",IF(ABS((AX20-AV20)/AV20)&gt;0.25,"&gt; 25%","ok"))</f>
        <v>N/A</v>
      </c>
      <c r="CZ20" s="80"/>
      <c r="DA20" s="80" t="str">
        <f t="shared" si="1"/>
        <v>N/A</v>
      </c>
    </row>
    <row r="21" spans="1:105" s="378" customFormat="1" ht="15" customHeight="1">
      <c r="A21" s="212"/>
      <c r="B21" s="664">
        <v>267</v>
      </c>
      <c r="C21" s="255">
        <v>13</v>
      </c>
      <c r="D21" s="380" t="s">
        <v>332</v>
      </c>
      <c r="E21" s="255" t="s">
        <v>313</v>
      </c>
      <c r="F21" s="575"/>
      <c r="G21" s="588"/>
      <c r="H21" s="575"/>
      <c r="I21" s="588"/>
      <c r="J21" s="575"/>
      <c r="K21" s="588"/>
      <c r="L21" s="575"/>
      <c r="M21" s="588"/>
      <c r="N21" s="575"/>
      <c r="O21" s="588"/>
      <c r="P21" s="575"/>
      <c r="Q21" s="588"/>
      <c r="R21" s="575"/>
      <c r="S21" s="588"/>
      <c r="T21" s="575"/>
      <c r="U21" s="588"/>
      <c r="V21" s="575"/>
      <c r="W21" s="588"/>
      <c r="X21" s="575"/>
      <c r="Y21" s="588"/>
      <c r="Z21" s="575"/>
      <c r="AA21" s="588"/>
      <c r="AB21" s="575"/>
      <c r="AC21" s="588"/>
      <c r="AD21" s="575"/>
      <c r="AE21" s="588"/>
      <c r="AF21" s="575"/>
      <c r="AG21" s="588"/>
      <c r="AH21" s="575"/>
      <c r="AI21" s="588"/>
      <c r="AJ21" s="575"/>
      <c r="AK21" s="588"/>
      <c r="AL21" s="575"/>
      <c r="AM21" s="588"/>
      <c r="AN21" s="575"/>
      <c r="AO21" s="588"/>
      <c r="AP21" s="575"/>
      <c r="AQ21" s="588"/>
      <c r="AR21" s="575"/>
      <c r="AS21" s="588"/>
      <c r="AT21" s="575"/>
      <c r="AU21" s="588"/>
      <c r="AV21" s="575"/>
      <c r="AW21" s="588"/>
      <c r="AX21" s="575"/>
      <c r="AY21" s="588"/>
      <c r="AZ21" s="575"/>
      <c r="BA21" s="588"/>
      <c r="BB21" s="502"/>
      <c r="BC21" s="215"/>
      <c r="BD21" s="594">
        <v>13</v>
      </c>
      <c r="BE21" s="381" t="s">
        <v>332</v>
      </c>
      <c r="BF21" s="82" t="s">
        <v>81</v>
      </c>
      <c r="BG21" s="106" t="s">
        <v>85</v>
      </c>
      <c r="BH21" s="606"/>
      <c r="BI21" s="80" t="str">
        <f t="shared" si="2"/>
        <v>N/A</v>
      </c>
      <c r="BJ21" s="606"/>
      <c r="BK21" s="80" t="str">
        <f t="shared" si="17"/>
        <v>N/A</v>
      </c>
      <c r="BL21" s="80"/>
      <c r="BM21" s="80" t="str">
        <f t="shared" si="18"/>
        <v>N/A</v>
      </c>
      <c r="BN21" s="80"/>
      <c r="BO21" s="80" t="str">
        <f t="shared" si="19"/>
        <v>N/A</v>
      </c>
      <c r="BP21" s="80"/>
      <c r="BQ21" s="80" t="str">
        <f t="shared" si="20"/>
        <v>N/A</v>
      </c>
      <c r="BR21" s="80"/>
      <c r="BS21" s="80" t="str">
        <f t="shared" si="3"/>
        <v>N/A</v>
      </c>
      <c r="BT21" s="80"/>
      <c r="BU21" s="80" t="str">
        <f t="shared" si="4"/>
        <v>N/A</v>
      </c>
      <c r="BV21" s="80"/>
      <c r="BW21" s="80" t="str">
        <f t="shared" si="5"/>
        <v>N/A</v>
      </c>
      <c r="BX21" s="80"/>
      <c r="BY21" s="80" t="str">
        <f t="shared" si="6"/>
        <v>N/A</v>
      </c>
      <c r="BZ21" s="80"/>
      <c r="CA21" s="80" t="str">
        <f t="shared" si="7"/>
        <v>N/A</v>
      </c>
      <c r="CB21" s="80"/>
      <c r="CC21" s="80" t="str">
        <f t="shared" si="8"/>
        <v>N/A</v>
      </c>
      <c r="CD21" s="80"/>
      <c r="CE21" s="80" t="str">
        <f t="shared" si="9"/>
        <v>N/A</v>
      </c>
      <c r="CF21" s="80"/>
      <c r="CG21" s="80" t="str">
        <f t="shared" si="10"/>
        <v>N/A</v>
      </c>
      <c r="CH21" s="80"/>
      <c r="CI21" s="80" t="str">
        <f t="shared" si="11"/>
        <v>N/A</v>
      </c>
      <c r="CJ21" s="80"/>
      <c r="CK21" s="80" t="str">
        <f t="shared" si="12"/>
        <v>N/A</v>
      </c>
      <c r="CL21" s="80"/>
      <c r="CM21" s="80" t="str">
        <f t="shared" si="13"/>
        <v>N/A</v>
      </c>
      <c r="CN21" s="80"/>
      <c r="CO21" s="80" t="str">
        <f t="shared" si="14"/>
        <v>N/A</v>
      </c>
      <c r="CP21" s="80"/>
      <c r="CQ21" s="80" t="str">
        <f t="shared" si="0"/>
        <v>N/A</v>
      </c>
      <c r="CR21" s="80"/>
      <c r="CS21" s="80" t="str">
        <f t="shared" si="15"/>
        <v>N/A</v>
      </c>
      <c r="CT21" s="80"/>
      <c r="CU21" s="80" t="str">
        <f t="shared" si="16"/>
        <v>N/A</v>
      </c>
      <c r="CV21" s="80"/>
      <c r="CW21" s="80" t="str">
        <f t="shared" si="21"/>
        <v>N/A</v>
      </c>
      <c r="CX21" s="80"/>
      <c r="CY21" s="80" t="str">
        <f t="shared" si="22"/>
        <v>N/A</v>
      </c>
      <c r="CZ21" s="80"/>
      <c r="DA21" s="80" t="str">
        <f t="shared" si="1"/>
        <v>N/A</v>
      </c>
    </row>
    <row r="22" spans="1:105" s="378" customFormat="1" ht="15" customHeight="1">
      <c r="A22" s="212"/>
      <c r="B22" s="365">
        <v>69</v>
      </c>
      <c r="C22" s="255">
        <v>14</v>
      </c>
      <c r="D22" s="366" t="s">
        <v>300</v>
      </c>
      <c r="E22" s="255" t="s">
        <v>313</v>
      </c>
      <c r="F22" s="575"/>
      <c r="G22" s="588"/>
      <c r="H22" s="575"/>
      <c r="I22" s="588"/>
      <c r="J22" s="575"/>
      <c r="K22" s="588"/>
      <c r="L22" s="575"/>
      <c r="M22" s="588"/>
      <c r="N22" s="575"/>
      <c r="O22" s="588"/>
      <c r="P22" s="575"/>
      <c r="Q22" s="588"/>
      <c r="R22" s="575"/>
      <c r="S22" s="588"/>
      <c r="T22" s="575"/>
      <c r="U22" s="588"/>
      <c r="V22" s="575"/>
      <c r="W22" s="588"/>
      <c r="X22" s="575"/>
      <c r="Y22" s="588"/>
      <c r="Z22" s="575"/>
      <c r="AA22" s="588"/>
      <c r="AB22" s="575"/>
      <c r="AC22" s="588"/>
      <c r="AD22" s="575"/>
      <c r="AE22" s="588"/>
      <c r="AF22" s="575"/>
      <c r="AG22" s="588"/>
      <c r="AH22" s="575"/>
      <c r="AI22" s="588"/>
      <c r="AJ22" s="575"/>
      <c r="AK22" s="588"/>
      <c r="AL22" s="575"/>
      <c r="AM22" s="588"/>
      <c r="AN22" s="575"/>
      <c r="AO22" s="588"/>
      <c r="AP22" s="575"/>
      <c r="AQ22" s="588"/>
      <c r="AR22" s="575"/>
      <c r="AS22" s="588"/>
      <c r="AT22" s="575"/>
      <c r="AU22" s="588"/>
      <c r="AV22" s="575"/>
      <c r="AW22" s="588"/>
      <c r="AX22" s="575"/>
      <c r="AY22" s="588"/>
      <c r="AZ22" s="575"/>
      <c r="BA22" s="588"/>
      <c r="BB22" s="502"/>
      <c r="BC22" s="215"/>
      <c r="BD22" s="594">
        <v>14</v>
      </c>
      <c r="BE22" s="293" t="s">
        <v>300</v>
      </c>
      <c r="BF22" s="82" t="s">
        <v>81</v>
      </c>
      <c r="BG22" s="80" t="s">
        <v>85</v>
      </c>
      <c r="BH22" s="606"/>
      <c r="BI22" s="80" t="str">
        <f t="shared" si="2"/>
        <v>N/A</v>
      </c>
      <c r="BJ22" s="606"/>
      <c r="BK22" s="80" t="str">
        <f t="shared" si="17"/>
        <v>N/A</v>
      </c>
      <c r="BL22" s="80"/>
      <c r="BM22" s="80" t="str">
        <f t="shared" si="18"/>
        <v>N/A</v>
      </c>
      <c r="BN22" s="80"/>
      <c r="BO22" s="80" t="str">
        <f>IF(OR(ISBLANK(L22),ISBLANK(N22)),"N/A",IF(ABS((N22-L22)/L22)&gt;0.25,"&gt; 25%","ok"))</f>
        <v>N/A</v>
      </c>
      <c r="BP22" s="80"/>
      <c r="BQ22" s="80" t="str">
        <f t="shared" si="20"/>
        <v>N/A</v>
      </c>
      <c r="BR22" s="80"/>
      <c r="BS22" s="80" t="str">
        <f t="shared" si="3"/>
        <v>N/A</v>
      </c>
      <c r="BT22" s="80"/>
      <c r="BU22" s="80" t="str">
        <f t="shared" si="4"/>
        <v>N/A</v>
      </c>
      <c r="BV22" s="80"/>
      <c r="BW22" s="80" t="str">
        <f t="shared" si="5"/>
        <v>N/A</v>
      </c>
      <c r="BX22" s="80"/>
      <c r="BY22" s="80" t="str">
        <f t="shared" si="6"/>
        <v>N/A</v>
      </c>
      <c r="BZ22" s="80"/>
      <c r="CA22" s="80" t="str">
        <f t="shared" si="7"/>
        <v>N/A</v>
      </c>
      <c r="CB22" s="80"/>
      <c r="CC22" s="80" t="str">
        <f t="shared" si="8"/>
        <v>N/A</v>
      </c>
      <c r="CD22" s="80"/>
      <c r="CE22" s="80" t="str">
        <f t="shared" si="9"/>
        <v>N/A</v>
      </c>
      <c r="CF22" s="80"/>
      <c r="CG22" s="80" t="str">
        <f t="shared" si="10"/>
        <v>N/A</v>
      </c>
      <c r="CH22" s="80"/>
      <c r="CI22" s="80" t="str">
        <f t="shared" si="11"/>
        <v>N/A</v>
      </c>
      <c r="CJ22" s="80"/>
      <c r="CK22" s="80" t="str">
        <f t="shared" si="12"/>
        <v>N/A</v>
      </c>
      <c r="CL22" s="80"/>
      <c r="CM22" s="80" t="str">
        <f t="shared" si="13"/>
        <v>N/A</v>
      </c>
      <c r="CN22" s="80"/>
      <c r="CO22" s="80" t="str">
        <f t="shared" si="14"/>
        <v>N/A</v>
      </c>
      <c r="CP22" s="80"/>
      <c r="CQ22" s="80" t="str">
        <f t="shared" si="0"/>
        <v>N/A</v>
      </c>
      <c r="CR22" s="80"/>
      <c r="CS22" s="80" t="str">
        <f t="shared" si="15"/>
        <v>N/A</v>
      </c>
      <c r="CT22" s="80"/>
      <c r="CU22" s="80" t="str">
        <f t="shared" si="16"/>
        <v>N/A</v>
      </c>
      <c r="CV22" s="80"/>
      <c r="CW22" s="80" t="str">
        <f t="shared" si="21"/>
        <v>N/A</v>
      </c>
      <c r="CX22" s="80"/>
      <c r="CY22" s="80" t="str">
        <f t="shared" si="22"/>
        <v>N/A</v>
      </c>
      <c r="CZ22" s="80"/>
      <c r="DA22" s="80" t="str">
        <f t="shared" si="1"/>
        <v>N/A</v>
      </c>
    </row>
    <row r="23" spans="1:105" s="378" customFormat="1" ht="15" customHeight="1">
      <c r="A23" s="212"/>
      <c r="B23" s="365">
        <v>78</v>
      </c>
      <c r="C23" s="255">
        <v>15</v>
      </c>
      <c r="D23" s="366" t="s">
        <v>519</v>
      </c>
      <c r="E23" s="255" t="s">
        <v>313</v>
      </c>
      <c r="F23" s="575"/>
      <c r="G23" s="588"/>
      <c r="H23" s="575"/>
      <c r="I23" s="588"/>
      <c r="J23" s="575"/>
      <c r="K23" s="588"/>
      <c r="L23" s="575"/>
      <c r="M23" s="588"/>
      <c r="N23" s="575"/>
      <c r="O23" s="588"/>
      <c r="P23" s="575"/>
      <c r="Q23" s="588"/>
      <c r="R23" s="575"/>
      <c r="S23" s="588"/>
      <c r="T23" s="575"/>
      <c r="U23" s="588"/>
      <c r="V23" s="575"/>
      <c r="W23" s="588"/>
      <c r="X23" s="575"/>
      <c r="Y23" s="588"/>
      <c r="Z23" s="575"/>
      <c r="AA23" s="588"/>
      <c r="AB23" s="575"/>
      <c r="AC23" s="588"/>
      <c r="AD23" s="575"/>
      <c r="AE23" s="588"/>
      <c r="AF23" s="575"/>
      <c r="AG23" s="588"/>
      <c r="AH23" s="575"/>
      <c r="AI23" s="588"/>
      <c r="AJ23" s="575"/>
      <c r="AK23" s="588"/>
      <c r="AL23" s="575"/>
      <c r="AM23" s="588"/>
      <c r="AN23" s="575"/>
      <c r="AO23" s="588"/>
      <c r="AP23" s="575"/>
      <c r="AQ23" s="588"/>
      <c r="AR23" s="575"/>
      <c r="AS23" s="588"/>
      <c r="AT23" s="575"/>
      <c r="AU23" s="588"/>
      <c r="AV23" s="575"/>
      <c r="AW23" s="588"/>
      <c r="AX23" s="575"/>
      <c r="AY23" s="588"/>
      <c r="AZ23" s="575"/>
      <c r="BA23" s="588"/>
      <c r="BB23" s="502"/>
      <c r="BC23" s="215"/>
      <c r="BD23" s="594">
        <v>15</v>
      </c>
      <c r="BE23" s="293" t="s">
        <v>519</v>
      </c>
      <c r="BF23" s="82" t="s">
        <v>81</v>
      </c>
      <c r="BG23" s="80" t="s">
        <v>85</v>
      </c>
      <c r="BH23" s="606"/>
      <c r="BI23" s="80" t="str">
        <f t="shared" si="2"/>
        <v>N/A</v>
      </c>
      <c r="BJ23" s="606"/>
      <c r="BK23" s="80" t="str">
        <f t="shared" si="17"/>
        <v>N/A</v>
      </c>
      <c r="BL23" s="80"/>
      <c r="BM23" s="80" t="str">
        <f t="shared" si="18"/>
        <v>N/A</v>
      </c>
      <c r="BN23" s="80"/>
      <c r="BO23" s="80" t="str">
        <f t="shared" si="19"/>
        <v>N/A</v>
      </c>
      <c r="BP23" s="80"/>
      <c r="BQ23" s="80" t="str">
        <f t="shared" si="20"/>
        <v>N/A</v>
      </c>
      <c r="BR23" s="80"/>
      <c r="BS23" s="80" t="str">
        <f t="shared" si="3"/>
        <v>N/A</v>
      </c>
      <c r="BT23" s="80"/>
      <c r="BU23" s="80" t="str">
        <f t="shared" si="4"/>
        <v>N/A</v>
      </c>
      <c r="BV23" s="80"/>
      <c r="BW23" s="80" t="str">
        <f t="shared" si="5"/>
        <v>N/A</v>
      </c>
      <c r="BX23" s="80"/>
      <c r="BY23" s="80" t="str">
        <f t="shared" si="6"/>
        <v>N/A</v>
      </c>
      <c r="BZ23" s="80"/>
      <c r="CA23" s="80" t="str">
        <f t="shared" si="7"/>
        <v>N/A</v>
      </c>
      <c r="CB23" s="80"/>
      <c r="CC23" s="80" t="str">
        <f t="shared" si="8"/>
        <v>N/A</v>
      </c>
      <c r="CD23" s="80"/>
      <c r="CE23" s="80" t="str">
        <f t="shared" si="9"/>
        <v>N/A</v>
      </c>
      <c r="CF23" s="80"/>
      <c r="CG23" s="80" t="str">
        <f t="shared" si="10"/>
        <v>N/A</v>
      </c>
      <c r="CH23" s="80"/>
      <c r="CI23" s="80" t="str">
        <f t="shared" si="11"/>
        <v>N/A</v>
      </c>
      <c r="CJ23" s="80"/>
      <c r="CK23" s="80" t="str">
        <f t="shared" si="12"/>
        <v>N/A</v>
      </c>
      <c r="CL23" s="80"/>
      <c r="CM23" s="80" t="str">
        <f t="shared" si="13"/>
        <v>N/A</v>
      </c>
      <c r="CN23" s="80"/>
      <c r="CO23" s="80" t="str">
        <f t="shared" si="14"/>
        <v>N/A</v>
      </c>
      <c r="CP23" s="80"/>
      <c r="CQ23" s="80" t="str">
        <f t="shared" si="0"/>
        <v>N/A</v>
      </c>
      <c r="CR23" s="80"/>
      <c r="CS23" s="80" t="str">
        <f t="shared" si="15"/>
        <v>N/A</v>
      </c>
      <c r="CT23" s="80"/>
      <c r="CU23" s="80" t="str">
        <f t="shared" si="16"/>
        <v>N/A</v>
      </c>
      <c r="CV23" s="80"/>
      <c r="CW23" s="80" t="str">
        <f t="shared" si="21"/>
        <v>N/A</v>
      </c>
      <c r="CX23" s="80"/>
      <c r="CY23" s="80" t="str">
        <f t="shared" si="22"/>
        <v>N/A</v>
      </c>
      <c r="CZ23" s="80"/>
      <c r="DA23" s="80" t="str">
        <f t="shared" si="1"/>
        <v>N/A</v>
      </c>
    </row>
    <row r="24" spans="1:105" s="378" customFormat="1" ht="15" customHeight="1">
      <c r="A24" s="212"/>
      <c r="B24" s="365">
        <v>2434</v>
      </c>
      <c r="C24" s="255">
        <v>16</v>
      </c>
      <c r="D24" s="366" t="s">
        <v>513</v>
      </c>
      <c r="E24" s="255" t="s">
        <v>313</v>
      </c>
      <c r="F24" s="575"/>
      <c r="G24" s="588"/>
      <c r="H24" s="575"/>
      <c r="I24" s="588"/>
      <c r="J24" s="575"/>
      <c r="K24" s="588"/>
      <c r="L24" s="575"/>
      <c r="M24" s="588"/>
      <c r="N24" s="575"/>
      <c r="O24" s="588"/>
      <c r="P24" s="575"/>
      <c r="Q24" s="588"/>
      <c r="R24" s="575"/>
      <c r="S24" s="588"/>
      <c r="T24" s="575"/>
      <c r="U24" s="588"/>
      <c r="V24" s="575"/>
      <c r="W24" s="588"/>
      <c r="X24" s="575"/>
      <c r="Y24" s="588"/>
      <c r="Z24" s="575"/>
      <c r="AA24" s="588"/>
      <c r="AB24" s="575"/>
      <c r="AC24" s="588"/>
      <c r="AD24" s="575"/>
      <c r="AE24" s="588"/>
      <c r="AF24" s="575"/>
      <c r="AG24" s="588"/>
      <c r="AH24" s="575"/>
      <c r="AI24" s="588"/>
      <c r="AJ24" s="575"/>
      <c r="AK24" s="588"/>
      <c r="AL24" s="575"/>
      <c r="AM24" s="588"/>
      <c r="AN24" s="575"/>
      <c r="AO24" s="588"/>
      <c r="AP24" s="575"/>
      <c r="AQ24" s="588"/>
      <c r="AR24" s="575"/>
      <c r="AS24" s="588"/>
      <c r="AT24" s="575"/>
      <c r="AU24" s="588"/>
      <c r="AV24" s="575"/>
      <c r="AW24" s="588"/>
      <c r="AX24" s="575"/>
      <c r="AY24" s="588"/>
      <c r="AZ24" s="575"/>
      <c r="BA24" s="588"/>
      <c r="BB24" s="502"/>
      <c r="BC24" s="215"/>
      <c r="BD24" s="594">
        <v>16</v>
      </c>
      <c r="BE24" s="293" t="s">
        <v>513</v>
      </c>
      <c r="BF24" s="82" t="s">
        <v>81</v>
      </c>
      <c r="BG24" s="80" t="s">
        <v>85</v>
      </c>
      <c r="BH24" s="606"/>
      <c r="BI24" s="80" t="str">
        <f t="shared" si="2"/>
        <v>N/A</v>
      </c>
      <c r="BJ24" s="606"/>
      <c r="BK24" s="80" t="str">
        <f t="shared" si="17"/>
        <v>N/A</v>
      </c>
      <c r="BL24" s="80"/>
      <c r="BM24" s="80" t="str">
        <f>IF(OR(ISBLANK(J24),ISBLANK(L24)),"N/A",IF(ABS((L24-J24)/J24)&gt;0.25,"&gt; 25%","ok"))</f>
        <v>N/A</v>
      </c>
      <c r="BN24" s="80"/>
      <c r="BO24" s="80" t="str">
        <f t="shared" si="19"/>
        <v>N/A</v>
      </c>
      <c r="BP24" s="80"/>
      <c r="BQ24" s="80" t="str">
        <f t="shared" si="20"/>
        <v>N/A</v>
      </c>
      <c r="BR24" s="80"/>
      <c r="BS24" s="80" t="str">
        <f t="shared" si="3"/>
        <v>N/A</v>
      </c>
      <c r="BT24" s="80"/>
      <c r="BU24" s="80" t="str">
        <f t="shared" si="4"/>
        <v>N/A</v>
      </c>
      <c r="BV24" s="80"/>
      <c r="BW24" s="80" t="str">
        <f t="shared" si="5"/>
        <v>N/A</v>
      </c>
      <c r="BX24" s="80"/>
      <c r="BY24" s="80" t="str">
        <f t="shared" si="6"/>
        <v>N/A</v>
      </c>
      <c r="BZ24" s="80"/>
      <c r="CA24" s="80" t="str">
        <f t="shared" si="7"/>
        <v>N/A</v>
      </c>
      <c r="CB24" s="80"/>
      <c r="CC24" s="80" t="str">
        <f t="shared" si="8"/>
        <v>N/A</v>
      </c>
      <c r="CD24" s="80"/>
      <c r="CE24" s="80" t="str">
        <f t="shared" si="9"/>
        <v>N/A</v>
      </c>
      <c r="CF24" s="80"/>
      <c r="CG24" s="80" t="str">
        <f t="shared" si="10"/>
        <v>N/A</v>
      </c>
      <c r="CH24" s="80"/>
      <c r="CI24" s="80" t="str">
        <f t="shared" si="11"/>
        <v>N/A</v>
      </c>
      <c r="CJ24" s="80"/>
      <c r="CK24" s="80" t="str">
        <f t="shared" si="12"/>
        <v>N/A</v>
      </c>
      <c r="CL24" s="80"/>
      <c r="CM24" s="80" t="str">
        <f t="shared" si="13"/>
        <v>N/A</v>
      </c>
      <c r="CN24" s="80"/>
      <c r="CO24" s="80" t="str">
        <f t="shared" si="14"/>
        <v>N/A</v>
      </c>
      <c r="CP24" s="80"/>
      <c r="CQ24" s="80" t="str">
        <f t="shared" si="0"/>
        <v>N/A</v>
      </c>
      <c r="CR24" s="80"/>
      <c r="CS24" s="80" t="str">
        <f t="shared" si="15"/>
        <v>N/A</v>
      </c>
      <c r="CT24" s="80"/>
      <c r="CU24" s="80" t="str">
        <f t="shared" si="16"/>
        <v>N/A</v>
      </c>
      <c r="CV24" s="80"/>
      <c r="CW24" s="80" t="str">
        <f t="shared" si="21"/>
        <v>N/A</v>
      </c>
      <c r="CX24" s="80"/>
      <c r="CY24" s="80" t="str">
        <f t="shared" si="22"/>
        <v>N/A</v>
      </c>
      <c r="CZ24" s="80"/>
      <c r="DA24" s="80" t="str">
        <f t="shared" si="1"/>
        <v>N/A</v>
      </c>
    </row>
    <row r="25" spans="1:105" s="378" customFormat="1" ht="15" customHeight="1">
      <c r="A25" s="212"/>
      <c r="B25" s="365">
        <v>2435</v>
      </c>
      <c r="C25" s="255">
        <v>17</v>
      </c>
      <c r="D25" s="366" t="s">
        <v>90</v>
      </c>
      <c r="E25" s="255" t="s">
        <v>313</v>
      </c>
      <c r="F25" s="575"/>
      <c r="G25" s="588"/>
      <c r="H25" s="575"/>
      <c r="I25" s="588"/>
      <c r="J25" s="575"/>
      <c r="K25" s="588"/>
      <c r="L25" s="575"/>
      <c r="M25" s="588"/>
      <c r="N25" s="575"/>
      <c r="O25" s="588"/>
      <c r="P25" s="575"/>
      <c r="Q25" s="588"/>
      <c r="R25" s="575"/>
      <c r="S25" s="588"/>
      <c r="T25" s="575"/>
      <c r="U25" s="588"/>
      <c r="V25" s="575"/>
      <c r="W25" s="588"/>
      <c r="X25" s="575"/>
      <c r="Y25" s="588"/>
      <c r="Z25" s="575"/>
      <c r="AA25" s="588"/>
      <c r="AB25" s="575"/>
      <c r="AC25" s="588"/>
      <c r="AD25" s="575"/>
      <c r="AE25" s="588"/>
      <c r="AF25" s="575"/>
      <c r="AG25" s="588"/>
      <c r="AH25" s="575"/>
      <c r="AI25" s="588"/>
      <c r="AJ25" s="575"/>
      <c r="AK25" s="588"/>
      <c r="AL25" s="575"/>
      <c r="AM25" s="588"/>
      <c r="AN25" s="575"/>
      <c r="AO25" s="588"/>
      <c r="AP25" s="575"/>
      <c r="AQ25" s="588"/>
      <c r="AR25" s="575"/>
      <c r="AS25" s="588"/>
      <c r="AT25" s="575"/>
      <c r="AU25" s="588"/>
      <c r="AV25" s="575"/>
      <c r="AW25" s="588"/>
      <c r="AX25" s="575"/>
      <c r="AY25" s="588"/>
      <c r="AZ25" s="575"/>
      <c r="BA25" s="588"/>
      <c r="BB25" s="502"/>
      <c r="BC25" s="215"/>
      <c r="BD25" s="594">
        <v>17</v>
      </c>
      <c r="BE25" s="293" t="s">
        <v>90</v>
      </c>
      <c r="BF25" s="82" t="s">
        <v>81</v>
      </c>
      <c r="BG25" s="80" t="s">
        <v>85</v>
      </c>
      <c r="BH25" s="606"/>
      <c r="BI25" s="80" t="str">
        <f t="shared" si="2"/>
        <v>N/A</v>
      </c>
      <c r="BJ25" s="606"/>
      <c r="BK25" s="80" t="str">
        <f t="shared" si="17"/>
        <v>N/A</v>
      </c>
      <c r="BL25" s="80"/>
      <c r="BM25" s="80" t="str">
        <f t="shared" si="18"/>
        <v>N/A</v>
      </c>
      <c r="BN25" s="80"/>
      <c r="BO25" s="80" t="str">
        <f t="shared" si="19"/>
        <v>N/A</v>
      </c>
      <c r="BP25" s="80"/>
      <c r="BQ25" s="80" t="str">
        <f t="shared" si="20"/>
        <v>N/A</v>
      </c>
      <c r="BR25" s="80"/>
      <c r="BS25" s="80" t="str">
        <f t="shared" si="3"/>
        <v>N/A</v>
      </c>
      <c r="BT25" s="80"/>
      <c r="BU25" s="80" t="str">
        <f t="shared" si="4"/>
        <v>N/A</v>
      </c>
      <c r="BV25" s="80"/>
      <c r="BW25" s="80" t="str">
        <f t="shared" si="5"/>
        <v>N/A</v>
      </c>
      <c r="BX25" s="80"/>
      <c r="BY25" s="80" t="str">
        <f t="shared" si="6"/>
        <v>N/A</v>
      </c>
      <c r="BZ25" s="80"/>
      <c r="CA25" s="80" t="str">
        <f t="shared" si="7"/>
        <v>N/A</v>
      </c>
      <c r="CB25" s="80"/>
      <c r="CC25" s="80" t="str">
        <f t="shared" si="8"/>
        <v>N/A</v>
      </c>
      <c r="CD25" s="80"/>
      <c r="CE25" s="80" t="str">
        <f t="shared" si="9"/>
        <v>N/A</v>
      </c>
      <c r="CF25" s="80"/>
      <c r="CG25" s="80" t="str">
        <f t="shared" si="10"/>
        <v>N/A</v>
      </c>
      <c r="CH25" s="80"/>
      <c r="CI25" s="80" t="str">
        <f t="shared" si="11"/>
        <v>N/A</v>
      </c>
      <c r="CJ25" s="80"/>
      <c r="CK25" s="80" t="str">
        <f t="shared" si="12"/>
        <v>N/A</v>
      </c>
      <c r="CL25" s="80"/>
      <c r="CM25" s="80" t="str">
        <f t="shared" si="13"/>
        <v>N/A</v>
      </c>
      <c r="CN25" s="80"/>
      <c r="CO25" s="80" t="str">
        <f t="shared" si="14"/>
        <v>N/A</v>
      </c>
      <c r="CP25" s="80"/>
      <c r="CQ25" s="80" t="str">
        <f t="shared" si="0"/>
        <v>N/A</v>
      </c>
      <c r="CR25" s="80"/>
      <c r="CS25" s="80" t="str">
        <f t="shared" si="15"/>
        <v>N/A</v>
      </c>
      <c r="CT25" s="80"/>
      <c r="CU25" s="80" t="str">
        <f t="shared" si="16"/>
        <v>N/A</v>
      </c>
      <c r="CV25" s="80"/>
      <c r="CW25" s="80" t="str">
        <f t="shared" si="21"/>
        <v>N/A</v>
      </c>
      <c r="CX25" s="80"/>
      <c r="CY25" s="80" t="str">
        <f t="shared" si="22"/>
        <v>N/A</v>
      </c>
      <c r="CZ25" s="80"/>
      <c r="DA25" s="80" t="str">
        <f t="shared" si="1"/>
        <v>N/A</v>
      </c>
    </row>
    <row r="26" spans="1:105" s="384" customFormat="1" ht="27" customHeight="1">
      <c r="A26" s="383" t="s">
        <v>67</v>
      </c>
      <c r="B26" s="371">
        <v>79</v>
      </c>
      <c r="C26" s="372">
        <v>18</v>
      </c>
      <c r="D26" s="373" t="s">
        <v>558</v>
      </c>
      <c r="E26" s="255" t="s">
        <v>313</v>
      </c>
      <c r="F26" s="575"/>
      <c r="G26" s="588"/>
      <c r="H26" s="575"/>
      <c r="I26" s="588"/>
      <c r="J26" s="575"/>
      <c r="K26" s="588"/>
      <c r="L26" s="575"/>
      <c r="M26" s="588"/>
      <c r="N26" s="575"/>
      <c r="O26" s="588"/>
      <c r="P26" s="575"/>
      <c r="Q26" s="588"/>
      <c r="R26" s="575"/>
      <c r="S26" s="588"/>
      <c r="T26" s="575"/>
      <c r="U26" s="588"/>
      <c r="V26" s="575"/>
      <c r="W26" s="588"/>
      <c r="X26" s="575"/>
      <c r="Y26" s="588"/>
      <c r="Z26" s="575"/>
      <c r="AA26" s="588"/>
      <c r="AB26" s="575"/>
      <c r="AC26" s="588"/>
      <c r="AD26" s="575"/>
      <c r="AE26" s="588"/>
      <c r="AF26" s="575"/>
      <c r="AG26" s="588"/>
      <c r="AH26" s="575"/>
      <c r="AI26" s="588"/>
      <c r="AJ26" s="575"/>
      <c r="AK26" s="588"/>
      <c r="AL26" s="575"/>
      <c r="AM26" s="588"/>
      <c r="AN26" s="575"/>
      <c r="AO26" s="588"/>
      <c r="AP26" s="575"/>
      <c r="AQ26" s="588"/>
      <c r="AR26" s="575"/>
      <c r="AS26" s="588"/>
      <c r="AT26" s="575"/>
      <c r="AU26" s="588"/>
      <c r="AV26" s="575"/>
      <c r="AW26" s="588"/>
      <c r="AX26" s="575"/>
      <c r="AY26" s="588"/>
      <c r="AZ26" s="575"/>
      <c r="BA26" s="588"/>
      <c r="BB26" s="675"/>
      <c r="BC26" s="385"/>
      <c r="BD26" s="639">
        <v>18</v>
      </c>
      <c r="BE26" s="377" t="s">
        <v>558</v>
      </c>
      <c r="BF26" s="82" t="s">
        <v>81</v>
      </c>
      <c r="BG26" s="80" t="s">
        <v>85</v>
      </c>
      <c r="BH26" s="615"/>
      <c r="BI26" s="80" t="str">
        <f t="shared" si="2"/>
        <v>N/A</v>
      </c>
      <c r="BJ26" s="615"/>
      <c r="BK26" s="80" t="str">
        <f t="shared" si="17"/>
        <v>N/A</v>
      </c>
      <c r="BL26" s="106"/>
      <c r="BM26" s="80" t="str">
        <f t="shared" si="18"/>
        <v>N/A</v>
      </c>
      <c r="BN26" s="106"/>
      <c r="BO26" s="80" t="str">
        <f t="shared" si="19"/>
        <v>N/A</v>
      </c>
      <c r="BP26" s="106"/>
      <c r="BQ26" s="80" t="str">
        <f t="shared" si="20"/>
        <v>N/A</v>
      </c>
      <c r="BR26" s="106"/>
      <c r="BS26" s="80" t="str">
        <f t="shared" si="3"/>
        <v>N/A</v>
      </c>
      <c r="BT26" s="106"/>
      <c r="BU26" s="80" t="str">
        <f t="shared" si="4"/>
        <v>N/A</v>
      </c>
      <c r="BV26" s="106"/>
      <c r="BW26" s="80" t="str">
        <f t="shared" si="5"/>
        <v>N/A</v>
      </c>
      <c r="BX26" s="106"/>
      <c r="BY26" s="80" t="str">
        <f t="shared" si="6"/>
        <v>N/A</v>
      </c>
      <c r="BZ26" s="106"/>
      <c r="CA26" s="80" t="str">
        <f t="shared" si="7"/>
        <v>N/A</v>
      </c>
      <c r="CB26" s="106"/>
      <c r="CC26" s="80" t="str">
        <f t="shared" si="8"/>
        <v>N/A</v>
      </c>
      <c r="CD26" s="106"/>
      <c r="CE26" s="80" t="str">
        <f t="shared" si="9"/>
        <v>N/A</v>
      </c>
      <c r="CF26" s="106"/>
      <c r="CG26" s="80" t="str">
        <f t="shared" si="10"/>
        <v>N/A</v>
      </c>
      <c r="CH26" s="106"/>
      <c r="CI26" s="80" t="str">
        <f t="shared" si="11"/>
        <v>N/A</v>
      </c>
      <c r="CJ26" s="106"/>
      <c r="CK26" s="80" t="str">
        <f t="shared" si="12"/>
        <v>N/A</v>
      </c>
      <c r="CL26" s="106"/>
      <c r="CM26" s="80" t="str">
        <f t="shared" si="13"/>
        <v>N/A</v>
      </c>
      <c r="CN26" s="106"/>
      <c r="CO26" s="80" t="str">
        <f t="shared" si="14"/>
        <v>N/A</v>
      </c>
      <c r="CP26" s="106"/>
      <c r="CQ26" s="80" t="str">
        <f t="shared" si="0"/>
        <v>N/A</v>
      </c>
      <c r="CR26" s="106"/>
      <c r="CS26" s="80" t="str">
        <f t="shared" si="15"/>
        <v>N/A</v>
      </c>
      <c r="CT26" s="106"/>
      <c r="CU26" s="80" t="str">
        <f t="shared" si="16"/>
        <v>N/A</v>
      </c>
      <c r="CV26" s="106"/>
      <c r="CW26" s="80" t="str">
        <f t="shared" si="21"/>
        <v>N/A</v>
      </c>
      <c r="CX26" s="106"/>
      <c r="CY26" s="80" t="str">
        <f t="shared" si="22"/>
        <v>N/A</v>
      </c>
      <c r="CZ26" s="106"/>
      <c r="DA26" s="80" t="str">
        <f t="shared" si="1"/>
        <v>N/A</v>
      </c>
    </row>
    <row r="27" spans="1:105" s="384" customFormat="1" ht="15" customHeight="1">
      <c r="A27" s="386"/>
      <c r="B27" s="371">
        <v>34</v>
      </c>
      <c r="C27" s="372">
        <v>19</v>
      </c>
      <c r="D27" s="373" t="s">
        <v>14</v>
      </c>
      <c r="E27" s="255" t="s">
        <v>313</v>
      </c>
      <c r="F27" s="575"/>
      <c r="G27" s="588"/>
      <c r="H27" s="575"/>
      <c r="I27" s="588"/>
      <c r="J27" s="575"/>
      <c r="K27" s="588"/>
      <c r="L27" s="575"/>
      <c r="M27" s="588"/>
      <c r="N27" s="575"/>
      <c r="O27" s="588"/>
      <c r="P27" s="575"/>
      <c r="Q27" s="588"/>
      <c r="R27" s="575"/>
      <c r="S27" s="588"/>
      <c r="T27" s="575"/>
      <c r="U27" s="588"/>
      <c r="V27" s="575"/>
      <c r="W27" s="588"/>
      <c r="X27" s="575"/>
      <c r="Y27" s="588"/>
      <c r="Z27" s="575"/>
      <c r="AA27" s="588"/>
      <c r="AB27" s="575"/>
      <c r="AC27" s="588"/>
      <c r="AD27" s="575"/>
      <c r="AE27" s="588"/>
      <c r="AF27" s="575"/>
      <c r="AG27" s="588"/>
      <c r="AH27" s="575"/>
      <c r="AI27" s="588"/>
      <c r="AJ27" s="575"/>
      <c r="AK27" s="588"/>
      <c r="AL27" s="575"/>
      <c r="AM27" s="588"/>
      <c r="AN27" s="575"/>
      <c r="AO27" s="588"/>
      <c r="AP27" s="575"/>
      <c r="AQ27" s="588"/>
      <c r="AR27" s="575"/>
      <c r="AS27" s="588"/>
      <c r="AT27" s="575"/>
      <c r="AU27" s="588"/>
      <c r="AV27" s="575"/>
      <c r="AW27" s="588"/>
      <c r="AX27" s="575"/>
      <c r="AY27" s="588"/>
      <c r="AZ27" s="575"/>
      <c r="BA27" s="588"/>
      <c r="BB27" s="675"/>
      <c r="BC27" s="385"/>
      <c r="BD27" s="639">
        <v>19</v>
      </c>
      <c r="BE27" s="377" t="s">
        <v>14</v>
      </c>
      <c r="BF27" s="82" t="s">
        <v>81</v>
      </c>
      <c r="BG27" s="80" t="s">
        <v>85</v>
      </c>
      <c r="BH27" s="615"/>
      <c r="BI27" s="80" t="str">
        <f t="shared" si="2"/>
        <v>N/A</v>
      </c>
      <c r="BJ27" s="615"/>
      <c r="BK27" s="80" t="str">
        <f t="shared" si="17"/>
        <v>N/A</v>
      </c>
      <c r="BL27" s="106"/>
      <c r="BM27" s="80" t="str">
        <f t="shared" si="18"/>
        <v>N/A</v>
      </c>
      <c r="BN27" s="106"/>
      <c r="BO27" s="80" t="str">
        <f t="shared" si="19"/>
        <v>N/A</v>
      </c>
      <c r="BP27" s="106"/>
      <c r="BQ27" s="80" t="str">
        <f t="shared" si="20"/>
        <v>N/A</v>
      </c>
      <c r="BR27" s="106"/>
      <c r="BS27" s="80" t="str">
        <f t="shared" si="3"/>
        <v>N/A</v>
      </c>
      <c r="BT27" s="106"/>
      <c r="BU27" s="80" t="str">
        <f t="shared" si="4"/>
        <v>N/A</v>
      </c>
      <c r="BV27" s="106"/>
      <c r="BW27" s="80" t="str">
        <f t="shared" si="5"/>
        <v>N/A</v>
      </c>
      <c r="BX27" s="106"/>
      <c r="BY27" s="80" t="str">
        <f t="shared" si="6"/>
        <v>N/A</v>
      </c>
      <c r="BZ27" s="106"/>
      <c r="CA27" s="80" t="str">
        <f t="shared" si="7"/>
        <v>N/A</v>
      </c>
      <c r="CB27" s="106"/>
      <c r="CC27" s="80" t="str">
        <f t="shared" si="8"/>
        <v>N/A</v>
      </c>
      <c r="CD27" s="106"/>
      <c r="CE27" s="80" t="str">
        <f t="shared" si="9"/>
        <v>N/A</v>
      </c>
      <c r="CF27" s="106"/>
      <c r="CG27" s="80" t="str">
        <f t="shared" si="10"/>
        <v>N/A</v>
      </c>
      <c r="CH27" s="106"/>
      <c r="CI27" s="80" t="str">
        <f t="shared" si="11"/>
        <v>N/A</v>
      </c>
      <c r="CJ27" s="106"/>
      <c r="CK27" s="80" t="str">
        <f t="shared" si="12"/>
        <v>N/A</v>
      </c>
      <c r="CL27" s="106"/>
      <c r="CM27" s="80" t="str">
        <f t="shared" si="13"/>
        <v>N/A</v>
      </c>
      <c r="CN27" s="106"/>
      <c r="CO27" s="80" t="str">
        <f t="shared" si="14"/>
        <v>N/A</v>
      </c>
      <c r="CP27" s="106"/>
      <c r="CQ27" s="80" t="str">
        <f t="shared" si="0"/>
        <v>N/A</v>
      </c>
      <c r="CR27" s="106"/>
      <c r="CS27" s="80" t="str">
        <f t="shared" si="15"/>
        <v>N/A</v>
      </c>
      <c r="CT27" s="106"/>
      <c r="CU27" s="80" t="str">
        <f t="shared" si="16"/>
        <v>N/A</v>
      </c>
      <c r="CV27" s="106"/>
      <c r="CW27" s="80" t="str">
        <f t="shared" si="21"/>
        <v>N/A</v>
      </c>
      <c r="CX27" s="106"/>
      <c r="CY27" s="80" t="str">
        <f t="shared" si="22"/>
        <v>N/A</v>
      </c>
      <c r="CZ27" s="106"/>
      <c r="DA27" s="80" t="str">
        <f t="shared" si="1"/>
        <v>N/A</v>
      </c>
    </row>
    <row r="28" spans="1:105" s="384" customFormat="1" ht="15" customHeight="1">
      <c r="A28" s="386" t="s">
        <v>67</v>
      </c>
      <c r="B28" s="371">
        <v>35</v>
      </c>
      <c r="C28" s="372">
        <v>20</v>
      </c>
      <c r="D28" s="373" t="s">
        <v>559</v>
      </c>
      <c r="E28" s="255" t="s">
        <v>313</v>
      </c>
      <c r="F28" s="575"/>
      <c r="G28" s="588"/>
      <c r="H28" s="575"/>
      <c r="I28" s="588"/>
      <c r="J28" s="575"/>
      <c r="K28" s="588"/>
      <c r="L28" s="575"/>
      <c r="M28" s="588"/>
      <c r="N28" s="575"/>
      <c r="O28" s="588"/>
      <c r="P28" s="575"/>
      <c r="Q28" s="588"/>
      <c r="R28" s="575"/>
      <c r="S28" s="588"/>
      <c r="T28" s="575"/>
      <c r="U28" s="588"/>
      <c r="V28" s="575"/>
      <c r="W28" s="588"/>
      <c r="X28" s="575"/>
      <c r="Y28" s="588"/>
      <c r="Z28" s="575"/>
      <c r="AA28" s="588"/>
      <c r="AB28" s="575"/>
      <c r="AC28" s="588"/>
      <c r="AD28" s="575"/>
      <c r="AE28" s="588"/>
      <c r="AF28" s="575"/>
      <c r="AG28" s="588"/>
      <c r="AH28" s="575"/>
      <c r="AI28" s="588"/>
      <c r="AJ28" s="575"/>
      <c r="AK28" s="588"/>
      <c r="AL28" s="575"/>
      <c r="AM28" s="588"/>
      <c r="AN28" s="575"/>
      <c r="AO28" s="588"/>
      <c r="AP28" s="575"/>
      <c r="AQ28" s="588"/>
      <c r="AR28" s="575"/>
      <c r="AS28" s="588"/>
      <c r="AT28" s="575"/>
      <c r="AU28" s="588"/>
      <c r="AV28" s="575"/>
      <c r="AW28" s="588"/>
      <c r="AX28" s="575"/>
      <c r="AY28" s="588"/>
      <c r="AZ28" s="575"/>
      <c r="BA28" s="588"/>
      <c r="BB28" s="675"/>
      <c r="BC28" s="385"/>
      <c r="BD28" s="639">
        <v>20</v>
      </c>
      <c r="BE28" s="377" t="s">
        <v>559</v>
      </c>
      <c r="BF28" s="82" t="s">
        <v>81</v>
      </c>
      <c r="BG28" s="106" t="s">
        <v>85</v>
      </c>
      <c r="BH28" s="615"/>
      <c r="BI28" s="80" t="str">
        <f t="shared" si="2"/>
        <v>N/A</v>
      </c>
      <c r="BJ28" s="615"/>
      <c r="BK28" s="80" t="str">
        <f t="shared" si="17"/>
        <v>N/A</v>
      </c>
      <c r="BL28" s="106"/>
      <c r="BM28" s="80" t="str">
        <f t="shared" si="18"/>
        <v>N/A</v>
      </c>
      <c r="BN28" s="106"/>
      <c r="BO28" s="80" t="str">
        <f t="shared" si="19"/>
        <v>N/A</v>
      </c>
      <c r="BP28" s="106"/>
      <c r="BQ28" s="80" t="str">
        <f t="shared" si="20"/>
        <v>N/A</v>
      </c>
      <c r="BR28" s="106"/>
      <c r="BS28" s="80" t="str">
        <f t="shared" si="3"/>
        <v>N/A</v>
      </c>
      <c r="BT28" s="106"/>
      <c r="BU28" s="80" t="str">
        <f t="shared" si="4"/>
        <v>N/A</v>
      </c>
      <c r="BV28" s="106"/>
      <c r="BW28" s="80" t="str">
        <f t="shared" si="5"/>
        <v>N/A</v>
      </c>
      <c r="BX28" s="106"/>
      <c r="BY28" s="80" t="str">
        <f t="shared" si="6"/>
        <v>N/A</v>
      </c>
      <c r="BZ28" s="106"/>
      <c r="CA28" s="80" t="str">
        <f t="shared" si="7"/>
        <v>N/A</v>
      </c>
      <c r="CB28" s="106"/>
      <c r="CC28" s="80" t="str">
        <f t="shared" si="8"/>
        <v>N/A</v>
      </c>
      <c r="CD28" s="106"/>
      <c r="CE28" s="80" t="str">
        <f t="shared" si="9"/>
        <v>N/A</v>
      </c>
      <c r="CF28" s="106"/>
      <c r="CG28" s="80" t="str">
        <f t="shared" si="10"/>
        <v>N/A</v>
      </c>
      <c r="CH28" s="106"/>
      <c r="CI28" s="80" t="str">
        <f t="shared" si="11"/>
        <v>N/A</v>
      </c>
      <c r="CJ28" s="106"/>
      <c r="CK28" s="80" t="str">
        <f t="shared" si="12"/>
        <v>N/A</v>
      </c>
      <c r="CL28" s="106"/>
      <c r="CM28" s="80" t="str">
        <f t="shared" si="13"/>
        <v>N/A</v>
      </c>
      <c r="CN28" s="106"/>
      <c r="CO28" s="80" t="str">
        <f t="shared" si="14"/>
        <v>N/A</v>
      </c>
      <c r="CP28" s="106"/>
      <c r="CQ28" s="80" t="str">
        <f t="shared" si="0"/>
        <v>N/A</v>
      </c>
      <c r="CR28" s="106"/>
      <c r="CS28" s="80" t="str">
        <f t="shared" si="15"/>
        <v>N/A</v>
      </c>
      <c r="CT28" s="106"/>
      <c r="CU28" s="80" t="str">
        <f t="shared" si="16"/>
        <v>N/A</v>
      </c>
      <c r="CV28" s="106"/>
      <c r="CW28" s="80" t="str">
        <f t="shared" si="21"/>
        <v>N/A</v>
      </c>
      <c r="CX28" s="106"/>
      <c r="CY28" s="80" t="str">
        <f t="shared" si="22"/>
        <v>N/A</v>
      </c>
      <c r="CZ28" s="106"/>
      <c r="DA28" s="80" t="str">
        <f t="shared" si="1"/>
        <v>N/A</v>
      </c>
    </row>
    <row r="29" spans="1:105" s="378" customFormat="1" ht="15" customHeight="1">
      <c r="A29" s="212"/>
      <c r="B29" s="365">
        <v>5010</v>
      </c>
      <c r="C29" s="594"/>
      <c r="D29" s="593" t="s">
        <v>454</v>
      </c>
      <c r="E29" s="594"/>
      <c r="F29" s="595"/>
      <c r="G29" s="596"/>
      <c r="H29" s="595"/>
      <c r="I29" s="596"/>
      <c r="J29" s="595"/>
      <c r="K29" s="596"/>
      <c r="L29" s="595"/>
      <c r="M29" s="596"/>
      <c r="N29" s="595"/>
      <c r="O29" s="596"/>
      <c r="P29" s="595"/>
      <c r="Q29" s="596"/>
      <c r="R29" s="595"/>
      <c r="S29" s="596"/>
      <c r="T29" s="595"/>
      <c r="U29" s="596"/>
      <c r="V29" s="595"/>
      <c r="W29" s="596"/>
      <c r="X29" s="595"/>
      <c r="Y29" s="596"/>
      <c r="Z29" s="595"/>
      <c r="AA29" s="596"/>
      <c r="AB29" s="595"/>
      <c r="AC29" s="596"/>
      <c r="AD29" s="595"/>
      <c r="AE29" s="596"/>
      <c r="AF29" s="595"/>
      <c r="AG29" s="596"/>
      <c r="AH29" s="595"/>
      <c r="AI29" s="596"/>
      <c r="AJ29" s="595"/>
      <c r="AK29" s="596"/>
      <c r="AL29" s="595"/>
      <c r="AM29" s="596"/>
      <c r="AN29" s="595"/>
      <c r="AO29" s="596"/>
      <c r="AP29" s="595"/>
      <c r="AQ29" s="596"/>
      <c r="AR29" s="595"/>
      <c r="AS29" s="596"/>
      <c r="AT29" s="595"/>
      <c r="AU29" s="596"/>
      <c r="AV29" s="595"/>
      <c r="AW29" s="596"/>
      <c r="AX29" s="595"/>
      <c r="AY29" s="596"/>
      <c r="AZ29" s="595"/>
      <c r="BA29" s="596"/>
      <c r="BB29" s="502"/>
      <c r="BC29" s="215"/>
      <c r="BD29" s="594"/>
      <c r="BE29" s="379" t="s">
        <v>454</v>
      </c>
      <c r="BF29" s="82"/>
      <c r="BG29" s="80"/>
      <c r="BH29" s="606"/>
      <c r="BI29" s="80"/>
      <c r="BJ29" s="606"/>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t="str">
        <f t="shared" si="1"/>
        <v>N/A</v>
      </c>
    </row>
    <row r="30" spans="1:105" s="378" customFormat="1" ht="15" customHeight="1">
      <c r="A30" s="212"/>
      <c r="B30" s="365">
        <v>279</v>
      </c>
      <c r="C30" s="255">
        <v>21</v>
      </c>
      <c r="D30" s="366" t="s">
        <v>399</v>
      </c>
      <c r="E30" s="255" t="s">
        <v>313</v>
      </c>
      <c r="F30" s="575"/>
      <c r="G30" s="588"/>
      <c r="H30" s="575"/>
      <c r="I30" s="588"/>
      <c r="J30" s="575"/>
      <c r="K30" s="588"/>
      <c r="L30" s="575"/>
      <c r="M30" s="588"/>
      <c r="N30" s="575"/>
      <c r="O30" s="588"/>
      <c r="P30" s="575"/>
      <c r="Q30" s="588"/>
      <c r="R30" s="575"/>
      <c r="S30" s="588"/>
      <c r="T30" s="575"/>
      <c r="U30" s="588"/>
      <c r="V30" s="575"/>
      <c r="W30" s="588"/>
      <c r="X30" s="575"/>
      <c r="Y30" s="588"/>
      <c r="Z30" s="575"/>
      <c r="AA30" s="588"/>
      <c r="AB30" s="575"/>
      <c r="AC30" s="588"/>
      <c r="AD30" s="575"/>
      <c r="AE30" s="588"/>
      <c r="AF30" s="575"/>
      <c r="AG30" s="588"/>
      <c r="AH30" s="575"/>
      <c r="AI30" s="588"/>
      <c r="AJ30" s="575"/>
      <c r="AK30" s="588"/>
      <c r="AL30" s="575"/>
      <c r="AM30" s="588"/>
      <c r="AN30" s="575"/>
      <c r="AO30" s="588"/>
      <c r="AP30" s="575"/>
      <c r="AQ30" s="588"/>
      <c r="AR30" s="575"/>
      <c r="AS30" s="588"/>
      <c r="AT30" s="575"/>
      <c r="AU30" s="588"/>
      <c r="AV30" s="575"/>
      <c r="AW30" s="588"/>
      <c r="AX30" s="575"/>
      <c r="AY30" s="588"/>
      <c r="AZ30" s="575"/>
      <c r="BA30" s="588"/>
      <c r="BB30" s="502"/>
      <c r="BC30" s="215"/>
      <c r="BD30" s="594">
        <v>21</v>
      </c>
      <c r="BE30" s="293" t="s">
        <v>399</v>
      </c>
      <c r="BF30" s="82" t="s">
        <v>81</v>
      </c>
      <c r="BG30" s="80" t="s">
        <v>85</v>
      </c>
      <c r="BH30" s="606"/>
      <c r="BI30" s="80" t="str">
        <f t="shared" si="2"/>
        <v>N/A</v>
      </c>
      <c r="BJ30" s="606"/>
      <c r="BK30" s="80" t="str">
        <f aca="true" t="shared" si="23" ref="BK30:BK38">IF(OR(ISBLANK(H30),ISBLANK(J30)),"N/A",IF(ABS((J30-H30)/H30)&gt;0.25,"&gt; 25%","ok"))</f>
        <v>N/A</v>
      </c>
      <c r="BL30" s="80"/>
      <c r="BM30" s="80" t="str">
        <f aca="true" t="shared" si="24" ref="BM30:BM38">IF(OR(ISBLANK(J30),ISBLANK(L30)),"N/A",IF(ABS((L30-J30)/J30)&gt;0.25,"&gt; 25%","ok"))</f>
        <v>N/A</v>
      </c>
      <c r="BN30" s="80"/>
      <c r="BO30" s="80" t="str">
        <f aca="true" t="shared" si="25" ref="BO30:BO38">IF(OR(ISBLANK(L30),ISBLANK(N30)),"N/A",IF(ABS((N30-L30)/L30)&gt;0.25,"&gt; 25%","ok"))</f>
        <v>N/A</v>
      </c>
      <c r="BP30" s="80"/>
      <c r="BQ30" s="80" t="str">
        <f aca="true" t="shared" si="26" ref="BQ30:BQ38">IF(OR(ISBLANK(N30),ISBLANK(P30)),"N/A",IF(ABS((P30-N30)/N30)&gt;0.25,"&gt; 25%","ok"))</f>
        <v>N/A</v>
      </c>
      <c r="BR30" s="80"/>
      <c r="BS30" s="80" t="str">
        <f t="shared" si="3"/>
        <v>N/A</v>
      </c>
      <c r="BT30" s="80"/>
      <c r="BU30" s="80" t="str">
        <f t="shared" si="4"/>
        <v>N/A</v>
      </c>
      <c r="BV30" s="80"/>
      <c r="BW30" s="80" t="str">
        <f t="shared" si="5"/>
        <v>N/A</v>
      </c>
      <c r="BX30" s="80"/>
      <c r="BY30" s="80" t="str">
        <f>IF(OR(ISBLANK(V30),ISBLANK(X30)),"N/A",IF(ABS((X30-V30)/V30)&gt;0.25,"&gt; 25%","ok"))</f>
        <v>N/A</v>
      </c>
      <c r="BZ30" s="80"/>
      <c r="CA30" s="80" t="str">
        <f t="shared" si="7"/>
        <v>N/A</v>
      </c>
      <c r="CB30" s="80"/>
      <c r="CC30" s="80" t="str">
        <f t="shared" si="8"/>
        <v>N/A</v>
      </c>
      <c r="CD30" s="80"/>
      <c r="CE30" s="80" t="str">
        <f t="shared" si="9"/>
        <v>N/A</v>
      </c>
      <c r="CF30" s="80"/>
      <c r="CG30" s="80" t="str">
        <f t="shared" si="10"/>
        <v>N/A</v>
      </c>
      <c r="CH30" s="80"/>
      <c r="CI30" s="80" t="str">
        <f t="shared" si="11"/>
        <v>N/A</v>
      </c>
      <c r="CJ30" s="80"/>
      <c r="CK30" s="80" t="str">
        <f t="shared" si="12"/>
        <v>N/A</v>
      </c>
      <c r="CL30" s="80"/>
      <c r="CM30" s="80" t="str">
        <f t="shared" si="13"/>
        <v>N/A</v>
      </c>
      <c r="CN30" s="80"/>
      <c r="CO30" s="80" t="str">
        <f t="shared" si="14"/>
        <v>N/A</v>
      </c>
      <c r="CP30" s="80"/>
      <c r="CQ30" s="80" t="str">
        <f t="shared" si="0"/>
        <v>N/A</v>
      </c>
      <c r="CR30" s="80"/>
      <c r="CS30" s="80" t="str">
        <f t="shared" si="15"/>
        <v>N/A</v>
      </c>
      <c r="CT30" s="80"/>
      <c r="CU30" s="80" t="str">
        <f t="shared" si="16"/>
        <v>N/A</v>
      </c>
      <c r="CV30" s="80"/>
      <c r="CW30" s="80" t="str">
        <f aca="true" t="shared" si="27" ref="CW30:CW38">IF(OR(ISBLANK(AT30),ISBLANK(AV30)),"N/A",IF(ABS((AV30-AT30)/AT30)&gt;0.25,"&gt; 25%","ok"))</f>
        <v>N/A</v>
      </c>
      <c r="CX30" s="80"/>
      <c r="CY30" s="80" t="str">
        <f aca="true" t="shared" si="28" ref="CY30:CY38">IF(OR(ISBLANK(AV30),ISBLANK(AX30)),"N/A",IF(ABS((AX30-AV30)/AV30)&gt;0.25,"&gt; 25%","ok"))</f>
        <v>N/A</v>
      </c>
      <c r="CZ30" s="80"/>
      <c r="DA30" s="80" t="str">
        <f t="shared" si="1"/>
        <v>N/A</v>
      </c>
    </row>
    <row r="31" spans="1:105" s="378" customFormat="1" ht="15" customHeight="1">
      <c r="A31" s="212"/>
      <c r="B31" s="365">
        <v>280</v>
      </c>
      <c r="C31" s="387">
        <v>22</v>
      </c>
      <c r="D31" s="667" t="s">
        <v>122</v>
      </c>
      <c r="E31" s="255" t="s">
        <v>313</v>
      </c>
      <c r="F31" s="602"/>
      <c r="G31" s="585"/>
      <c r="H31" s="602"/>
      <c r="I31" s="585"/>
      <c r="J31" s="602"/>
      <c r="K31" s="585"/>
      <c r="L31" s="602"/>
      <c r="M31" s="585"/>
      <c r="N31" s="602"/>
      <c r="O31" s="585"/>
      <c r="P31" s="602"/>
      <c r="Q31" s="585"/>
      <c r="R31" s="602"/>
      <c r="S31" s="585"/>
      <c r="T31" s="602"/>
      <c r="U31" s="585"/>
      <c r="V31" s="602"/>
      <c r="W31" s="585"/>
      <c r="X31" s="602"/>
      <c r="Y31" s="585"/>
      <c r="Z31" s="602"/>
      <c r="AA31" s="585"/>
      <c r="AB31" s="602"/>
      <c r="AC31" s="585"/>
      <c r="AD31" s="602"/>
      <c r="AE31" s="585"/>
      <c r="AF31" s="602"/>
      <c r="AG31" s="585"/>
      <c r="AH31" s="602"/>
      <c r="AI31" s="585"/>
      <c r="AJ31" s="602"/>
      <c r="AK31" s="585"/>
      <c r="AL31" s="602"/>
      <c r="AM31" s="585"/>
      <c r="AN31" s="602"/>
      <c r="AO31" s="585"/>
      <c r="AP31" s="602"/>
      <c r="AQ31" s="585"/>
      <c r="AR31" s="602"/>
      <c r="AS31" s="585"/>
      <c r="AT31" s="602"/>
      <c r="AU31" s="585"/>
      <c r="AV31" s="602"/>
      <c r="AW31" s="585"/>
      <c r="AX31" s="602"/>
      <c r="AY31" s="585"/>
      <c r="AZ31" s="602"/>
      <c r="BA31" s="585"/>
      <c r="BB31" s="502"/>
      <c r="BC31" s="215"/>
      <c r="BD31" s="643">
        <v>22</v>
      </c>
      <c r="BE31" s="293" t="s">
        <v>204</v>
      </c>
      <c r="BF31" s="82" t="s">
        <v>81</v>
      </c>
      <c r="BG31" s="80" t="s">
        <v>85</v>
      </c>
      <c r="BH31" s="607"/>
      <c r="BI31" s="80" t="str">
        <f t="shared" si="2"/>
        <v>N/A</v>
      </c>
      <c r="BJ31" s="606"/>
      <c r="BK31" s="80" t="str">
        <f t="shared" si="23"/>
        <v>N/A</v>
      </c>
      <c r="BL31" s="80"/>
      <c r="BM31" s="80" t="str">
        <f t="shared" si="24"/>
        <v>N/A</v>
      </c>
      <c r="BN31" s="80"/>
      <c r="BO31" s="80" t="str">
        <f t="shared" si="25"/>
        <v>N/A</v>
      </c>
      <c r="BP31" s="80"/>
      <c r="BQ31" s="80" t="str">
        <f t="shared" si="26"/>
        <v>N/A</v>
      </c>
      <c r="BR31" s="80"/>
      <c r="BS31" s="80" t="str">
        <f t="shared" si="3"/>
        <v>N/A</v>
      </c>
      <c r="BT31" s="80"/>
      <c r="BU31" s="80" t="str">
        <f t="shared" si="4"/>
        <v>N/A</v>
      </c>
      <c r="BV31" s="80"/>
      <c r="BW31" s="80" t="str">
        <f t="shared" si="5"/>
        <v>N/A</v>
      </c>
      <c r="BX31" s="80"/>
      <c r="BY31" s="80" t="str">
        <f t="shared" si="6"/>
        <v>N/A</v>
      </c>
      <c r="BZ31" s="80"/>
      <c r="CA31" s="80" t="str">
        <f t="shared" si="7"/>
        <v>N/A</v>
      </c>
      <c r="CB31" s="80"/>
      <c r="CC31" s="80" t="str">
        <f t="shared" si="8"/>
        <v>N/A</v>
      </c>
      <c r="CD31" s="80"/>
      <c r="CE31" s="80" t="str">
        <f t="shared" si="9"/>
        <v>N/A</v>
      </c>
      <c r="CF31" s="80"/>
      <c r="CG31" s="80" t="str">
        <f t="shared" si="10"/>
        <v>N/A</v>
      </c>
      <c r="CH31" s="80"/>
      <c r="CI31" s="80" t="str">
        <f t="shared" si="11"/>
        <v>N/A</v>
      </c>
      <c r="CJ31" s="80"/>
      <c r="CK31" s="80" t="str">
        <f t="shared" si="12"/>
        <v>N/A</v>
      </c>
      <c r="CL31" s="80"/>
      <c r="CM31" s="80" t="str">
        <f t="shared" si="13"/>
        <v>N/A</v>
      </c>
      <c r="CN31" s="80"/>
      <c r="CO31" s="80" t="str">
        <f t="shared" si="14"/>
        <v>N/A</v>
      </c>
      <c r="CP31" s="80"/>
      <c r="CQ31" s="80" t="str">
        <f t="shared" si="0"/>
        <v>N/A</v>
      </c>
      <c r="CR31" s="80"/>
      <c r="CS31" s="80" t="str">
        <f t="shared" si="15"/>
        <v>N/A</v>
      </c>
      <c r="CT31" s="80"/>
      <c r="CU31" s="80" t="str">
        <f t="shared" si="16"/>
        <v>N/A</v>
      </c>
      <c r="CV31" s="80"/>
      <c r="CW31" s="80" t="str">
        <f t="shared" si="27"/>
        <v>N/A</v>
      </c>
      <c r="CX31" s="80"/>
      <c r="CY31" s="80" t="str">
        <f t="shared" si="28"/>
        <v>N/A</v>
      </c>
      <c r="CZ31" s="80"/>
      <c r="DA31" s="80" t="str">
        <f t="shared" si="1"/>
        <v>N/A</v>
      </c>
    </row>
    <row r="32" spans="1:105" s="378" customFormat="1" ht="15" customHeight="1">
      <c r="A32" s="212"/>
      <c r="B32" s="365">
        <v>281</v>
      </c>
      <c r="C32" s="387">
        <v>23</v>
      </c>
      <c r="D32" s="665" t="s">
        <v>634</v>
      </c>
      <c r="E32" s="255" t="s">
        <v>313</v>
      </c>
      <c r="F32" s="602"/>
      <c r="G32" s="585"/>
      <c r="H32" s="602"/>
      <c r="I32" s="585"/>
      <c r="J32" s="602"/>
      <c r="K32" s="585"/>
      <c r="L32" s="602"/>
      <c r="M32" s="585"/>
      <c r="N32" s="602"/>
      <c r="O32" s="585"/>
      <c r="P32" s="602"/>
      <c r="Q32" s="585"/>
      <c r="R32" s="602"/>
      <c r="S32" s="585"/>
      <c r="T32" s="602"/>
      <c r="U32" s="585"/>
      <c r="V32" s="602"/>
      <c r="W32" s="585"/>
      <c r="X32" s="602"/>
      <c r="Y32" s="585"/>
      <c r="Z32" s="602"/>
      <c r="AA32" s="585"/>
      <c r="AB32" s="602"/>
      <c r="AC32" s="585"/>
      <c r="AD32" s="602"/>
      <c r="AE32" s="585"/>
      <c r="AF32" s="602"/>
      <c r="AG32" s="585"/>
      <c r="AH32" s="602"/>
      <c r="AI32" s="585"/>
      <c r="AJ32" s="602"/>
      <c r="AK32" s="585"/>
      <c r="AL32" s="602"/>
      <c r="AM32" s="585"/>
      <c r="AN32" s="602"/>
      <c r="AO32" s="585"/>
      <c r="AP32" s="602"/>
      <c r="AQ32" s="585"/>
      <c r="AR32" s="602"/>
      <c r="AS32" s="585"/>
      <c r="AT32" s="602"/>
      <c r="AU32" s="585"/>
      <c r="AV32" s="602"/>
      <c r="AW32" s="585"/>
      <c r="AX32" s="602"/>
      <c r="AY32" s="585"/>
      <c r="AZ32" s="602"/>
      <c r="BA32" s="585"/>
      <c r="BB32" s="502"/>
      <c r="BC32" s="215"/>
      <c r="BD32" s="643">
        <v>23</v>
      </c>
      <c r="BE32" s="293" t="s">
        <v>594</v>
      </c>
      <c r="BF32" s="82" t="s">
        <v>81</v>
      </c>
      <c r="BG32" s="80"/>
      <c r="BH32" s="607"/>
      <c r="BI32" s="80" t="str">
        <f t="shared" si="2"/>
        <v>N/A</v>
      </c>
      <c r="BJ32" s="606"/>
      <c r="BK32" s="80" t="str">
        <f t="shared" si="23"/>
        <v>N/A</v>
      </c>
      <c r="BL32" s="80"/>
      <c r="BM32" s="80" t="str">
        <f t="shared" si="24"/>
        <v>N/A</v>
      </c>
      <c r="BN32" s="80"/>
      <c r="BO32" s="80" t="str">
        <f t="shared" si="25"/>
        <v>N/A</v>
      </c>
      <c r="BP32" s="80"/>
      <c r="BQ32" s="80" t="str">
        <f>IF(OR(ISBLANK(N32),ISBLANK(P32)),"N/A",IF(ABS((P32-N32)/N32)&gt;0.25,"&gt; 25%","ok"))</f>
        <v>N/A</v>
      </c>
      <c r="BR32" s="80"/>
      <c r="BS32" s="80" t="str">
        <f t="shared" si="3"/>
        <v>N/A</v>
      </c>
      <c r="BT32" s="80"/>
      <c r="BU32" s="80" t="str">
        <f t="shared" si="4"/>
        <v>N/A</v>
      </c>
      <c r="BV32" s="80"/>
      <c r="BW32" s="80" t="str">
        <f t="shared" si="5"/>
        <v>N/A</v>
      </c>
      <c r="BX32" s="80"/>
      <c r="BY32" s="80" t="str">
        <f t="shared" si="6"/>
        <v>N/A</v>
      </c>
      <c r="BZ32" s="80"/>
      <c r="CA32" s="80" t="str">
        <f t="shared" si="7"/>
        <v>N/A</v>
      </c>
      <c r="CB32" s="80"/>
      <c r="CC32" s="80" t="str">
        <f t="shared" si="8"/>
        <v>N/A</v>
      </c>
      <c r="CD32" s="80"/>
      <c r="CE32" s="80" t="str">
        <f t="shared" si="9"/>
        <v>N/A</v>
      </c>
      <c r="CF32" s="80"/>
      <c r="CG32" s="80" t="str">
        <f t="shared" si="10"/>
        <v>N/A</v>
      </c>
      <c r="CH32" s="80"/>
      <c r="CI32" s="80" t="str">
        <f t="shared" si="11"/>
        <v>N/A</v>
      </c>
      <c r="CJ32" s="80"/>
      <c r="CK32" s="80" t="str">
        <f t="shared" si="12"/>
        <v>N/A</v>
      </c>
      <c r="CL32" s="80"/>
      <c r="CM32" s="80" t="str">
        <f t="shared" si="13"/>
        <v>N/A</v>
      </c>
      <c r="CN32" s="80"/>
      <c r="CO32" s="80" t="str">
        <f t="shared" si="14"/>
        <v>N/A</v>
      </c>
      <c r="CP32" s="80"/>
      <c r="CQ32" s="80" t="str">
        <f t="shared" si="0"/>
        <v>N/A</v>
      </c>
      <c r="CR32" s="80"/>
      <c r="CS32" s="80" t="str">
        <f t="shared" si="15"/>
        <v>N/A</v>
      </c>
      <c r="CT32" s="80"/>
      <c r="CU32" s="80" t="str">
        <f t="shared" si="16"/>
        <v>N/A</v>
      </c>
      <c r="CV32" s="80"/>
      <c r="CW32" s="80" t="str">
        <f t="shared" si="27"/>
        <v>N/A</v>
      </c>
      <c r="CX32" s="80"/>
      <c r="CY32" s="80" t="str">
        <f t="shared" si="28"/>
        <v>N/A</v>
      </c>
      <c r="CZ32" s="80"/>
      <c r="DA32" s="80" t="str">
        <f t="shared" si="1"/>
        <v>N/A</v>
      </c>
    </row>
    <row r="33" spans="1:105" s="378" customFormat="1" ht="15" customHeight="1">
      <c r="A33" s="212"/>
      <c r="B33" s="365">
        <v>201</v>
      </c>
      <c r="C33" s="387">
        <v>24</v>
      </c>
      <c r="D33" s="380" t="s">
        <v>538</v>
      </c>
      <c r="E33" s="255" t="s">
        <v>313</v>
      </c>
      <c r="F33" s="602"/>
      <c r="G33" s="585"/>
      <c r="H33" s="602"/>
      <c r="I33" s="585"/>
      <c r="J33" s="602"/>
      <c r="K33" s="585"/>
      <c r="L33" s="602"/>
      <c r="M33" s="585"/>
      <c r="N33" s="602"/>
      <c r="O33" s="585"/>
      <c r="P33" s="602"/>
      <c r="Q33" s="585"/>
      <c r="R33" s="602"/>
      <c r="S33" s="585"/>
      <c r="T33" s="602"/>
      <c r="U33" s="585"/>
      <c r="V33" s="602"/>
      <c r="W33" s="585"/>
      <c r="X33" s="602"/>
      <c r="Y33" s="585"/>
      <c r="Z33" s="602"/>
      <c r="AA33" s="585"/>
      <c r="AB33" s="602"/>
      <c r="AC33" s="585"/>
      <c r="AD33" s="602"/>
      <c r="AE33" s="585"/>
      <c r="AF33" s="602"/>
      <c r="AG33" s="585"/>
      <c r="AH33" s="602"/>
      <c r="AI33" s="585"/>
      <c r="AJ33" s="602"/>
      <c r="AK33" s="585"/>
      <c r="AL33" s="602"/>
      <c r="AM33" s="585"/>
      <c r="AN33" s="602"/>
      <c r="AO33" s="585"/>
      <c r="AP33" s="602"/>
      <c r="AQ33" s="585"/>
      <c r="AR33" s="602"/>
      <c r="AS33" s="585"/>
      <c r="AT33" s="602"/>
      <c r="AU33" s="585"/>
      <c r="AV33" s="602"/>
      <c r="AW33" s="585"/>
      <c r="AX33" s="602"/>
      <c r="AY33" s="585"/>
      <c r="AZ33" s="602"/>
      <c r="BA33" s="585"/>
      <c r="BB33" s="502"/>
      <c r="BC33" s="215"/>
      <c r="BD33" s="643">
        <v>24</v>
      </c>
      <c r="BE33" s="293" t="s">
        <v>537</v>
      </c>
      <c r="BF33" s="82" t="s">
        <v>81</v>
      </c>
      <c r="BG33" s="80"/>
      <c r="BH33" s="607"/>
      <c r="BI33" s="80" t="str">
        <f t="shared" si="2"/>
        <v>N/A</v>
      </c>
      <c r="BJ33" s="606"/>
      <c r="BK33" s="80" t="str">
        <f>IF(OR(ISBLANK(H33),ISBLANK(J33)),"N/A",IF(ABS((J33-H33)/H33)&gt;0.25,"&gt; 25%","ok"))</f>
        <v>N/A</v>
      </c>
      <c r="BL33" s="80"/>
      <c r="BM33" s="80" t="str">
        <f>IF(OR(ISBLANK(J33),ISBLANK(L33)),"N/A",IF(ABS((L33-J33)/J33)&gt;0.25,"&gt; 25%","ok"))</f>
        <v>N/A</v>
      </c>
      <c r="BN33" s="80"/>
      <c r="BO33" s="80" t="str">
        <f>IF(OR(ISBLANK(L33),ISBLANK(N33)),"N/A",IF(ABS((N33-L33)/L33)&gt;0.25,"&gt; 25%","ok"))</f>
        <v>N/A</v>
      </c>
      <c r="BP33" s="80"/>
      <c r="BQ33" s="80" t="str">
        <f>IF(OR(ISBLANK(N33),ISBLANK(P33)),"N/A",IF(ABS((P33-N33)/N33)&gt;0.25,"&gt; 25%","ok"))</f>
        <v>N/A</v>
      </c>
      <c r="BR33" s="80"/>
      <c r="BS33" s="80" t="str">
        <f t="shared" si="3"/>
        <v>N/A</v>
      </c>
      <c r="BT33" s="80"/>
      <c r="BU33" s="80" t="str">
        <f t="shared" si="4"/>
        <v>N/A</v>
      </c>
      <c r="BV33" s="80"/>
      <c r="BW33" s="80" t="str">
        <f t="shared" si="5"/>
        <v>N/A</v>
      </c>
      <c r="BX33" s="80"/>
      <c r="BY33" s="80" t="str">
        <f t="shared" si="6"/>
        <v>N/A</v>
      </c>
      <c r="BZ33" s="80"/>
      <c r="CA33" s="80" t="str">
        <f t="shared" si="7"/>
        <v>N/A</v>
      </c>
      <c r="CB33" s="80"/>
      <c r="CC33" s="80" t="str">
        <f t="shared" si="8"/>
        <v>N/A</v>
      </c>
      <c r="CD33" s="80"/>
      <c r="CE33" s="80" t="str">
        <f t="shared" si="9"/>
        <v>N/A</v>
      </c>
      <c r="CF33" s="80"/>
      <c r="CG33" s="80" t="str">
        <f t="shared" si="10"/>
        <v>N/A</v>
      </c>
      <c r="CH33" s="80"/>
      <c r="CI33" s="80" t="str">
        <f t="shared" si="11"/>
        <v>N/A</v>
      </c>
      <c r="CJ33" s="80"/>
      <c r="CK33" s="80" t="str">
        <f t="shared" si="12"/>
        <v>N/A</v>
      </c>
      <c r="CL33" s="80"/>
      <c r="CM33" s="80" t="str">
        <f t="shared" si="13"/>
        <v>N/A</v>
      </c>
      <c r="CN33" s="80"/>
      <c r="CO33" s="80" t="str">
        <f t="shared" si="14"/>
        <v>N/A</v>
      </c>
      <c r="CP33" s="80"/>
      <c r="CQ33" s="80" t="str">
        <f t="shared" si="0"/>
        <v>N/A</v>
      </c>
      <c r="CR33" s="80"/>
      <c r="CS33" s="80" t="str">
        <f t="shared" si="15"/>
        <v>N/A</v>
      </c>
      <c r="CT33" s="80"/>
      <c r="CU33" s="80" t="str">
        <f t="shared" si="16"/>
        <v>N/A</v>
      </c>
      <c r="CV33" s="80"/>
      <c r="CW33" s="80" t="str">
        <f>IF(OR(ISBLANK(AT33),ISBLANK(AV33)),"N/A",IF(ABS((AV33-AT33)/AT33)&gt;0.25,"&gt; 25%","ok"))</f>
        <v>N/A</v>
      </c>
      <c r="CX33" s="80"/>
      <c r="CY33" s="80" t="str">
        <f>IF(OR(ISBLANK(AV33),ISBLANK(AX33)),"N/A",IF(ABS((AX33-AV33)/AV33)&gt;0.25,"&gt; 25%","ok"))</f>
        <v>N/A</v>
      </c>
      <c r="CZ33" s="80"/>
      <c r="DA33" s="80" t="str">
        <f t="shared" si="1"/>
        <v>N/A</v>
      </c>
    </row>
    <row r="34" spans="1:105" s="378" customFormat="1" ht="15" customHeight="1">
      <c r="A34" s="212"/>
      <c r="B34" s="365">
        <v>282</v>
      </c>
      <c r="C34" s="387">
        <v>25</v>
      </c>
      <c r="D34" s="667" t="s">
        <v>505</v>
      </c>
      <c r="E34" s="255" t="s">
        <v>313</v>
      </c>
      <c r="F34" s="602"/>
      <c r="G34" s="585"/>
      <c r="H34" s="602"/>
      <c r="I34" s="585"/>
      <c r="J34" s="602"/>
      <c r="K34" s="585"/>
      <c r="L34" s="602"/>
      <c r="M34" s="585"/>
      <c r="N34" s="602"/>
      <c r="O34" s="585"/>
      <c r="P34" s="602"/>
      <c r="Q34" s="585"/>
      <c r="R34" s="602"/>
      <c r="S34" s="585"/>
      <c r="T34" s="602"/>
      <c r="U34" s="585"/>
      <c r="V34" s="602"/>
      <c r="W34" s="585"/>
      <c r="X34" s="602"/>
      <c r="Y34" s="585"/>
      <c r="Z34" s="602"/>
      <c r="AA34" s="585"/>
      <c r="AB34" s="602"/>
      <c r="AC34" s="585"/>
      <c r="AD34" s="602"/>
      <c r="AE34" s="585"/>
      <c r="AF34" s="602"/>
      <c r="AG34" s="585"/>
      <c r="AH34" s="602"/>
      <c r="AI34" s="585"/>
      <c r="AJ34" s="602"/>
      <c r="AK34" s="585"/>
      <c r="AL34" s="602"/>
      <c r="AM34" s="585"/>
      <c r="AN34" s="602"/>
      <c r="AO34" s="585"/>
      <c r="AP34" s="602"/>
      <c r="AQ34" s="585"/>
      <c r="AR34" s="602"/>
      <c r="AS34" s="585"/>
      <c r="AT34" s="602"/>
      <c r="AU34" s="585"/>
      <c r="AV34" s="602"/>
      <c r="AW34" s="585"/>
      <c r="AX34" s="602"/>
      <c r="AY34" s="585"/>
      <c r="AZ34" s="602"/>
      <c r="BA34" s="585"/>
      <c r="BB34" s="502"/>
      <c r="BC34" s="215"/>
      <c r="BD34" s="643">
        <v>25</v>
      </c>
      <c r="BE34" s="293" t="s">
        <v>400</v>
      </c>
      <c r="BF34" s="82" t="s">
        <v>81</v>
      </c>
      <c r="BG34" s="80" t="s">
        <v>85</v>
      </c>
      <c r="BH34" s="607"/>
      <c r="BI34" s="80" t="str">
        <f t="shared" si="2"/>
        <v>N/A</v>
      </c>
      <c r="BJ34" s="606"/>
      <c r="BK34" s="80" t="str">
        <f t="shared" si="23"/>
        <v>N/A</v>
      </c>
      <c r="BL34" s="80"/>
      <c r="BM34" s="80" t="str">
        <f t="shared" si="24"/>
        <v>N/A</v>
      </c>
      <c r="BN34" s="80"/>
      <c r="BO34" s="80" t="str">
        <f t="shared" si="25"/>
        <v>N/A</v>
      </c>
      <c r="BP34" s="80"/>
      <c r="BQ34" s="80" t="str">
        <f t="shared" si="26"/>
        <v>N/A</v>
      </c>
      <c r="BR34" s="80"/>
      <c r="BS34" s="80" t="str">
        <f t="shared" si="3"/>
        <v>N/A</v>
      </c>
      <c r="BT34" s="80"/>
      <c r="BU34" s="80" t="str">
        <f t="shared" si="4"/>
        <v>N/A</v>
      </c>
      <c r="BV34" s="80"/>
      <c r="BW34" s="80" t="str">
        <f t="shared" si="5"/>
        <v>N/A</v>
      </c>
      <c r="BX34" s="80"/>
      <c r="BY34" s="80" t="str">
        <f t="shared" si="6"/>
        <v>N/A</v>
      </c>
      <c r="BZ34" s="80"/>
      <c r="CA34" s="80" t="str">
        <f t="shared" si="7"/>
        <v>N/A</v>
      </c>
      <c r="CB34" s="80"/>
      <c r="CC34" s="80" t="str">
        <f t="shared" si="8"/>
        <v>N/A</v>
      </c>
      <c r="CD34" s="80"/>
      <c r="CE34" s="80" t="str">
        <f t="shared" si="9"/>
        <v>N/A</v>
      </c>
      <c r="CF34" s="80"/>
      <c r="CG34" s="80" t="str">
        <f t="shared" si="10"/>
        <v>N/A</v>
      </c>
      <c r="CH34" s="80"/>
      <c r="CI34" s="80" t="str">
        <f t="shared" si="11"/>
        <v>N/A</v>
      </c>
      <c r="CJ34" s="80"/>
      <c r="CK34" s="80" t="str">
        <f t="shared" si="12"/>
        <v>N/A</v>
      </c>
      <c r="CL34" s="80"/>
      <c r="CM34" s="80" t="str">
        <f t="shared" si="13"/>
        <v>N/A</v>
      </c>
      <c r="CN34" s="80"/>
      <c r="CO34" s="80" t="str">
        <f t="shared" si="14"/>
        <v>N/A</v>
      </c>
      <c r="CP34" s="80"/>
      <c r="CQ34" s="80" t="str">
        <f t="shared" si="0"/>
        <v>N/A</v>
      </c>
      <c r="CR34" s="80"/>
      <c r="CS34" s="80" t="str">
        <f t="shared" si="15"/>
        <v>N/A</v>
      </c>
      <c r="CT34" s="80"/>
      <c r="CU34" s="80" t="str">
        <f t="shared" si="16"/>
        <v>N/A</v>
      </c>
      <c r="CV34" s="80"/>
      <c r="CW34" s="80" t="str">
        <f t="shared" si="27"/>
        <v>N/A</v>
      </c>
      <c r="CX34" s="80"/>
      <c r="CY34" s="80" t="str">
        <f t="shared" si="28"/>
        <v>N/A</v>
      </c>
      <c r="CZ34" s="80"/>
      <c r="DA34" s="80" t="str">
        <f t="shared" si="1"/>
        <v>N/A</v>
      </c>
    </row>
    <row r="35" spans="1:105" s="378" customFormat="1" ht="21" customHeight="1">
      <c r="A35" s="212"/>
      <c r="B35" s="365">
        <v>202</v>
      </c>
      <c r="C35" s="387">
        <v>26</v>
      </c>
      <c r="D35" s="380" t="s">
        <v>535</v>
      </c>
      <c r="E35" s="255" t="s">
        <v>313</v>
      </c>
      <c r="F35" s="602"/>
      <c r="G35" s="585"/>
      <c r="H35" s="602"/>
      <c r="I35" s="585"/>
      <c r="J35" s="602"/>
      <c r="K35" s="585"/>
      <c r="L35" s="602"/>
      <c r="M35" s="585"/>
      <c r="N35" s="602"/>
      <c r="O35" s="585"/>
      <c r="P35" s="602"/>
      <c r="Q35" s="585"/>
      <c r="R35" s="602"/>
      <c r="S35" s="585"/>
      <c r="T35" s="602"/>
      <c r="U35" s="585"/>
      <c r="V35" s="602"/>
      <c r="W35" s="585"/>
      <c r="X35" s="602"/>
      <c r="Y35" s="585"/>
      <c r="Z35" s="602"/>
      <c r="AA35" s="585"/>
      <c r="AB35" s="602"/>
      <c r="AC35" s="585"/>
      <c r="AD35" s="602"/>
      <c r="AE35" s="585"/>
      <c r="AF35" s="602"/>
      <c r="AG35" s="585"/>
      <c r="AH35" s="602"/>
      <c r="AI35" s="585"/>
      <c r="AJ35" s="602"/>
      <c r="AK35" s="585"/>
      <c r="AL35" s="602"/>
      <c r="AM35" s="585"/>
      <c r="AN35" s="602"/>
      <c r="AO35" s="585"/>
      <c r="AP35" s="602"/>
      <c r="AQ35" s="585"/>
      <c r="AR35" s="602"/>
      <c r="AS35" s="585"/>
      <c r="AT35" s="602"/>
      <c r="AU35" s="585"/>
      <c r="AV35" s="602"/>
      <c r="AW35" s="585"/>
      <c r="AX35" s="602"/>
      <c r="AY35" s="585"/>
      <c r="AZ35" s="602"/>
      <c r="BA35" s="585"/>
      <c r="BB35" s="502"/>
      <c r="BC35" s="215"/>
      <c r="BD35" s="643">
        <v>26</v>
      </c>
      <c r="BE35" s="293" t="s">
        <v>539</v>
      </c>
      <c r="BF35" s="82" t="s">
        <v>81</v>
      </c>
      <c r="BG35" s="80"/>
      <c r="BH35" s="607"/>
      <c r="BI35" s="80" t="str">
        <f t="shared" si="2"/>
        <v>N/A</v>
      </c>
      <c r="BJ35" s="606"/>
      <c r="BK35" s="80" t="str">
        <f>IF(OR(ISBLANK(H35),ISBLANK(J35)),"N/A",IF(ABS((J35-H35)/H35)&gt;0.25,"&gt; 25%","ok"))</f>
        <v>N/A</v>
      </c>
      <c r="BL35" s="80"/>
      <c r="BM35" s="80" t="str">
        <f>IF(OR(ISBLANK(J35),ISBLANK(L35)),"N/A",IF(ABS((L35-J35)/J35)&gt;0.25,"&gt; 25%","ok"))</f>
        <v>N/A</v>
      </c>
      <c r="BN35" s="80"/>
      <c r="BO35" s="80" t="str">
        <f>IF(OR(ISBLANK(L35),ISBLANK(N35)),"N/A",IF(ABS((N35-L35)/L35)&gt;0.25,"&gt; 25%","ok"))</f>
        <v>N/A</v>
      </c>
      <c r="BP35" s="80"/>
      <c r="BQ35" s="80" t="str">
        <f>IF(OR(ISBLANK(N35),ISBLANK(P35)),"N/A",IF(ABS((P35-N35)/N35)&gt;0.25,"&gt; 25%","ok"))</f>
        <v>N/A</v>
      </c>
      <c r="BR35" s="80"/>
      <c r="BS35" s="80" t="str">
        <f t="shared" si="3"/>
        <v>N/A</v>
      </c>
      <c r="BT35" s="80"/>
      <c r="BU35" s="80" t="str">
        <f t="shared" si="4"/>
        <v>N/A</v>
      </c>
      <c r="BV35" s="80"/>
      <c r="BW35" s="80" t="str">
        <f t="shared" si="5"/>
        <v>N/A</v>
      </c>
      <c r="BX35" s="80"/>
      <c r="BY35" s="80" t="str">
        <f t="shared" si="6"/>
        <v>N/A</v>
      </c>
      <c r="BZ35" s="80"/>
      <c r="CA35" s="80" t="str">
        <f t="shared" si="7"/>
        <v>N/A</v>
      </c>
      <c r="CB35" s="80"/>
      <c r="CC35" s="80" t="str">
        <f t="shared" si="8"/>
        <v>N/A</v>
      </c>
      <c r="CD35" s="80"/>
      <c r="CE35" s="80" t="str">
        <f t="shared" si="9"/>
        <v>N/A</v>
      </c>
      <c r="CF35" s="80"/>
      <c r="CG35" s="80" t="str">
        <f t="shared" si="10"/>
        <v>N/A</v>
      </c>
      <c r="CH35" s="80"/>
      <c r="CI35" s="80" t="str">
        <f t="shared" si="11"/>
        <v>N/A</v>
      </c>
      <c r="CJ35" s="80"/>
      <c r="CK35" s="80" t="str">
        <f t="shared" si="12"/>
        <v>N/A</v>
      </c>
      <c r="CL35" s="80"/>
      <c r="CM35" s="80" t="str">
        <f t="shared" si="13"/>
        <v>N/A</v>
      </c>
      <c r="CN35" s="80"/>
      <c r="CO35" s="80" t="str">
        <f t="shared" si="14"/>
        <v>N/A</v>
      </c>
      <c r="CP35" s="80"/>
      <c r="CQ35" s="80" t="str">
        <f t="shared" si="0"/>
        <v>N/A</v>
      </c>
      <c r="CR35" s="80"/>
      <c r="CS35" s="80" t="str">
        <f t="shared" si="15"/>
        <v>N/A</v>
      </c>
      <c r="CT35" s="80"/>
      <c r="CU35" s="80" t="str">
        <f t="shared" si="16"/>
        <v>N/A</v>
      </c>
      <c r="CV35" s="80"/>
      <c r="CW35" s="80" t="str">
        <f>IF(OR(ISBLANK(AT35),ISBLANK(AV35)),"N/A",IF(ABS((AV35-AT35)/AT35)&gt;0.25,"&gt; 25%","ok"))</f>
        <v>N/A</v>
      </c>
      <c r="CX35" s="80"/>
      <c r="CY35" s="80" t="str">
        <f>IF(OR(ISBLANK(AV35),ISBLANK(AX35)),"N/A",IF(ABS((AX35-AV35)/AV35)&gt;0.25,"&gt; 25%","ok"))</f>
        <v>N/A</v>
      </c>
      <c r="CZ35" s="80"/>
      <c r="DA35" s="80" t="str">
        <f t="shared" si="1"/>
        <v>N/A</v>
      </c>
    </row>
    <row r="36" spans="1:105" s="378" customFormat="1" ht="27.75" customHeight="1">
      <c r="A36" s="212"/>
      <c r="B36" s="365">
        <v>283</v>
      </c>
      <c r="C36" s="387">
        <v>27</v>
      </c>
      <c r="D36" s="665" t="s">
        <v>633</v>
      </c>
      <c r="E36" s="255" t="s">
        <v>313</v>
      </c>
      <c r="F36" s="621"/>
      <c r="G36" s="585"/>
      <c r="H36" s="621"/>
      <c r="I36" s="585"/>
      <c r="J36" s="621"/>
      <c r="K36" s="585"/>
      <c r="L36" s="621"/>
      <c r="M36" s="585"/>
      <c r="N36" s="621"/>
      <c r="O36" s="585"/>
      <c r="P36" s="621"/>
      <c r="Q36" s="585"/>
      <c r="R36" s="621"/>
      <c r="S36" s="585"/>
      <c r="T36" s="621"/>
      <c r="U36" s="585"/>
      <c r="V36" s="621"/>
      <c r="W36" s="585"/>
      <c r="X36" s="621"/>
      <c r="Y36" s="585"/>
      <c r="Z36" s="621"/>
      <c r="AA36" s="585"/>
      <c r="AB36" s="621"/>
      <c r="AC36" s="585"/>
      <c r="AD36" s="621"/>
      <c r="AE36" s="585"/>
      <c r="AF36" s="621"/>
      <c r="AG36" s="585"/>
      <c r="AH36" s="621"/>
      <c r="AI36" s="585"/>
      <c r="AJ36" s="621"/>
      <c r="AK36" s="585"/>
      <c r="AL36" s="621"/>
      <c r="AM36" s="585"/>
      <c r="AN36" s="621"/>
      <c r="AO36" s="585"/>
      <c r="AP36" s="621"/>
      <c r="AQ36" s="585"/>
      <c r="AR36" s="621"/>
      <c r="AS36" s="585"/>
      <c r="AT36" s="621"/>
      <c r="AU36" s="585"/>
      <c r="AV36" s="621"/>
      <c r="AW36" s="585"/>
      <c r="AX36" s="621"/>
      <c r="AY36" s="585"/>
      <c r="AZ36" s="621"/>
      <c r="BA36" s="585"/>
      <c r="BB36" s="502"/>
      <c r="BC36" s="215"/>
      <c r="BD36" s="643">
        <v>27</v>
      </c>
      <c r="BE36" s="641" t="s">
        <v>595</v>
      </c>
      <c r="BF36" s="82" t="s">
        <v>81</v>
      </c>
      <c r="BG36" s="80" t="s">
        <v>85</v>
      </c>
      <c r="BH36" s="607"/>
      <c r="BI36" s="80" t="str">
        <f t="shared" si="2"/>
        <v>N/A</v>
      </c>
      <c r="BJ36" s="606"/>
      <c r="BK36" s="80" t="str">
        <f t="shared" si="23"/>
        <v>N/A</v>
      </c>
      <c r="BL36" s="80"/>
      <c r="BM36" s="80" t="str">
        <f t="shared" si="24"/>
        <v>N/A</v>
      </c>
      <c r="BN36" s="80"/>
      <c r="BO36" s="80" t="str">
        <f t="shared" si="25"/>
        <v>N/A</v>
      </c>
      <c r="BP36" s="80"/>
      <c r="BQ36" s="80" t="str">
        <f t="shared" si="26"/>
        <v>N/A</v>
      </c>
      <c r="BR36" s="80"/>
      <c r="BS36" s="80" t="str">
        <f t="shared" si="3"/>
        <v>N/A</v>
      </c>
      <c r="BT36" s="80"/>
      <c r="BU36" s="80" t="str">
        <f t="shared" si="4"/>
        <v>N/A</v>
      </c>
      <c r="BV36" s="80"/>
      <c r="BW36" s="80" t="str">
        <f t="shared" si="5"/>
        <v>N/A</v>
      </c>
      <c r="BX36" s="80"/>
      <c r="BY36" s="80" t="str">
        <f t="shared" si="6"/>
        <v>N/A</v>
      </c>
      <c r="BZ36" s="80"/>
      <c r="CA36" s="80" t="str">
        <f t="shared" si="7"/>
        <v>N/A</v>
      </c>
      <c r="CB36" s="80"/>
      <c r="CC36" s="80" t="str">
        <f t="shared" si="8"/>
        <v>N/A</v>
      </c>
      <c r="CD36" s="80"/>
      <c r="CE36" s="80" t="str">
        <f t="shared" si="9"/>
        <v>N/A</v>
      </c>
      <c r="CF36" s="80"/>
      <c r="CG36" s="80" t="str">
        <f t="shared" si="10"/>
        <v>N/A</v>
      </c>
      <c r="CH36" s="80"/>
      <c r="CI36" s="80" t="str">
        <f t="shared" si="11"/>
        <v>N/A</v>
      </c>
      <c r="CJ36" s="80"/>
      <c r="CK36" s="80" t="str">
        <f t="shared" si="12"/>
        <v>N/A</v>
      </c>
      <c r="CL36" s="80"/>
      <c r="CM36" s="80" t="str">
        <f t="shared" si="13"/>
        <v>N/A</v>
      </c>
      <c r="CN36" s="80"/>
      <c r="CO36" s="80" t="str">
        <f t="shared" si="14"/>
        <v>N/A</v>
      </c>
      <c r="CP36" s="80"/>
      <c r="CQ36" s="80" t="str">
        <f t="shared" si="0"/>
        <v>N/A</v>
      </c>
      <c r="CR36" s="80"/>
      <c r="CS36" s="80" t="str">
        <f t="shared" si="15"/>
        <v>N/A</v>
      </c>
      <c r="CT36" s="80"/>
      <c r="CU36" s="80" t="str">
        <f t="shared" si="16"/>
        <v>N/A</v>
      </c>
      <c r="CV36" s="80"/>
      <c r="CW36" s="80" t="str">
        <f t="shared" si="27"/>
        <v>N/A</v>
      </c>
      <c r="CX36" s="80"/>
      <c r="CY36" s="80" t="str">
        <f t="shared" si="28"/>
        <v>N/A</v>
      </c>
      <c r="CZ36" s="80"/>
      <c r="DA36" s="80" t="str">
        <f t="shared" si="1"/>
        <v>N/A</v>
      </c>
    </row>
    <row r="37" spans="1:105" s="378" customFormat="1" ht="21" customHeight="1">
      <c r="A37" s="212"/>
      <c r="B37" s="365">
        <v>203</v>
      </c>
      <c r="C37" s="631">
        <v>28</v>
      </c>
      <c r="D37" s="666" t="s">
        <v>536</v>
      </c>
      <c r="E37" s="255" t="s">
        <v>313</v>
      </c>
      <c r="F37" s="632"/>
      <c r="G37" s="586"/>
      <c r="H37" s="632"/>
      <c r="I37" s="586"/>
      <c r="J37" s="632"/>
      <c r="K37" s="586"/>
      <c r="L37" s="632"/>
      <c r="M37" s="586"/>
      <c r="N37" s="632"/>
      <c r="O37" s="586"/>
      <c r="P37" s="632"/>
      <c r="Q37" s="586"/>
      <c r="R37" s="632"/>
      <c r="S37" s="586"/>
      <c r="T37" s="632"/>
      <c r="U37" s="586"/>
      <c r="V37" s="632"/>
      <c r="W37" s="586"/>
      <c r="X37" s="632"/>
      <c r="Y37" s="586"/>
      <c r="Z37" s="632"/>
      <c r="AA37" s="586"/>
      <c r="AB37" s="632"/>
      <c r="AC37" s="586"/>
      <c r="AD37" s="632"/>
      <c r="AE37" s="586"/>
      <c r="AF37" s="632"/>
      <c r="AG37" s="586"/>
      <c r="AH37" s="632"/>
      <c r="AI37" s="586"/>
      <c r="AJ37" s="632"/>
      <c r="AK37" s="586"/>
      <c r="AL37" s="632"/>
      <c r="AM37" s="586"/>
      <c r="AN37" s="632"/>
      <c r="AO37" s="586"/>
      <c r="AP37" s="632"/>
      <c r="AQ37" s="586"/>
      <c r="AR37" s="632"/>
      <c r="AS37" s="586"/>
      <c r="AT37" s="632"/>
      <c r="AU37" s="586"/>
      <c r="AV37" s="632"/>
      <c r="AW37" s="586"/>
      <c r="AX37" s="632"/>
      <c r="AY37" s="586"/>
      <c r="AZ37" s="632"/>
      <c r="BA37" s="586"/>
      <c r="BB37" s="502"/>
      <c r="BC37" s="215"/>
      <c r="BD37" s="644">
        <v>28</v>
      </c>
      <c r="BE37" s="293" t="s">
        <v>536</v>
      </c>
      <c r="BF37" s="82" t="s">
        <v>81</v>
      </c>
      <c r="BG37" s="80"/>
      <c r="BH37" s="607"/>
      <c r="BI37" s="80" t="str">
        <f t="shared" si="2"/>
        <v>N/A</v>
      </c>
      <c r="BJ37" s="606"/>
      <c r="BK37" s="80" t="str">
        <f>IF(OR(ISBLANK(H37),ISBLANK(J37)),"N/A",IF(ABS((J37-H37)/H37)&gt;0.25,"&gt; 25%","ok"))</f>
        <v>N/A</v>
      </c>
      <c r="BL37" s="80"/>
      <c r="BM37" s="80" t="str">
        <f>IF(OR(ISBLANK(J37),ISBLANK(L37)),"N/A",IF(ABS((L37-J37)/J37)&gt;0.25,"&gt; 25%","ok"))</f>
        <v>N/A</v>
      </c>
      <c r="BN37" s="80"/>
      <c r="BO37" s="80" t="str">
        <f>IF(OR(ISBLANK(L37),ISBLANK(N37)),"N/A",IF(ABS((N37-L37)/L37)&gt;0.25,"&gt; 25%","ok"))</f>
        <v>N/A</v>
      </c>
      <c r="BP37" s="80"/>
      <c r="BQ37" s="80" t="str">
        <f>IF(OR(ISBLANK(N37),ISBLANK(P37)),"N/A",IF(ABS((P37-N37)/N37)&gt;0.25,"&gt; 25%","ok"))</f>
        <v>N/A</v>
      </c>
      <c r="BR37" s="80"/>
      <c r="BS37" s="80" t="str">
        <f t="shared" si="3"/>
        <v>N/A</v>
      </c>
      <c r="BT37" s="80"/>
      <c r="BU37" s="80" t="str">
        <f t="shared" si="4"/>
        <v>N/A</v>
      </c>
      <c r="BV37" s="80"/>
      <c r="BW37" s="80" t="str">
        <f t="shared" si="5"/>
        <v>N/A</v>
      </c>
      <c r="BX37" s="80"/>
      <c r="BY37" s="80" t="str">
        <f t="shared" si="6"/>
        <v>N/A</v>
      </c>
      <c r="BZ37" s="80"/>
      <c r="CA37" s="80" t="str">
        <f t="shared" si="7"/>
        <v>N/A</v>
      </c>
      <c r="CB37" s="80"/>
      <c r="CC37" s="80" t="str">
        <f t="shared" si="8"/>
        <v>N/A</v>
      </c>
      <c r="CD37" s="80"/>
      <c r="CE37" s="80" t="str">
        <f t="shared" si="9"/>
        <v>N/A</v>
      </c>
      <c r="CF37" s="80"/>
      <c r="CG37" s="80" t="str">
        <f t="shared" si="10"/>
        <v>N/A</v>
      </c>
      <c r="CH37" s="80"/>
      <c r="CI37" s="80" t="str">
        <f t="shared" si="11"/>
        <v>N/A</v>
      </c>
      <c r="CJ37" s="80"/>
      <c r="CK37" s="80" t="str">
        <f t="shared" si="12"/>
        <v>N/A</v>
      </c>
      <c r="CL37" s="80"/>
      <c r="CM37" s="80" t="str">
        <f t="shared" si="13"/>
        <v>N/A</v>
      </c>
      <c r="CN37" s="80"/>
      <c r="CO37" s="80" t="str">
        <f t="shared" si="14"/>
        <v>N/A</v>
      </c>
      <c r="CP37" s="80"/>
      <c r="CQ37" s="80" t="str">
        <f t="shared" si="0"/>
        <v>N/A</v>
      </c>
      <c r="CR37" s="80"/>
      <c r="CS37" s="80" t="str">
        <f t="shared" si="15"/>
        <v>N/A</v>
      </c>
      <c r="CT37" s="80"/>
      <c r="CU37" s="80" t="str">
        <f t="shared" si="16"/>
        <v>N/A</v>
      </c>
      <c r="CV37" s="80"/>
      <c r="CW37" s="80" t="str">
        <f>IF(OR(ISBLANK(AT37),ISBLANK(AV37)),"N/A",IF(ABS((AV37-AT37)/AT37)&gt;0.25,"&gt; 25%","ok"))</f>
        <v>N/A</v>
      </c>
      <c r="CX37" s="80"/>
      <c r="CY37" s="80" t="str">
        <f>IF(OR(ISBLANK(AV37),ISBLANK(AX37)),"N/A",IF(ABS((AX37-AV37)/AV37)&gt;0.25,"&gt; 25%","ok"))</f>
        <v>N/A</v>
      </c>
      <c r="CZ37" s="80"/>
      <c r="DA37" s="80" t="str">
        <f t="shared" si="1"/>
        <v>N/A</v>
      </c>
    </row>
    <row r="38" spans="1:105" s="378" customFormat="1" ht="15" customHeight="1">
      <c r="A38" s="212"/>
      <c r="B38" s="365">
        <v>204</v>
      </c>
      <c r="C38" s="388">
        <v>29</v>
      </c>
      <c r="D38" s="683" t="s">
        <v>332</v>
      </c>
      <c r="E38" s="389" t="s">
        <v>313</v>
      </c>
      <c r="F38" s="622"/>
      <c r="G38" s="587"/>
      <c r="H38" s="622"/>
      <c r="I38" s="587"/>
      <c r="J38" s="622"/>
      <c r="K38" s="587"/>
      <c r="L38" s="622"/>
      <c r="M38" s="587"/>
      <c r="N38" s="622"/>
      <c r="O38" s="587"/>
      <c r="P38" s="622"/>
      <c r="Q38" s="587"/>
      <c r="R38" s="622"/>
      <c r="S38" s="587"/>
      <c r="T38" s="622"/>
      <c r="U38" s="587"/>
      <c r="V38" s="622"/>
      <c r="W38" s="587"/>
      <c r="X38" s="622"/>
      <c r="Y38" s="587"/>
      <c r="Z38" s="622"/>
      <c r="AA38" s="587"/>
      <c r="AB38" s="622"/>
      <c r="AC38" s="587"/>
      <c r="AD38" s="622"/>
      <c r="AE38" s="587"/>
      <c r="AF38" s="622"/>
      <c r="AG38" s="587"/>
      <c r="AH38" s="622"/>
      <c r="AI38" s="587"/>
      <c r="AJ38" s="622"/>
      <c r="AK38" s="587"/>
      <c r="AL38" s="622"/>
      <c r="AM38" s="587"/>
      <c r="AN38" s="622"/>
      <c r="AO38" s="587"/>
      <c r="AP38" s="622"/>
      <c r="AQ38" s="587"/>
      <c r="AR38" s="622"/>
      <c r="AS38" s="587"/>
      <c r="AT38" s="622"/>
      <c r="AU38" s="587"/>
      <c r="AV38" s="622"/>
      <c r="AW38" s="587"/>
      <c r="AX38" s="622"/>
      <c r="AY38" s="587"/>
      <c r="AZ38" s="622"/>
      <c r="BA38" s="587"/>
      <c r="BB38" s="502"/>
      <c r="BC38" s="215"/>
      <c r="BD38" s="645">
        <v>29</v>
      </c>
      <c r="BE38" s="248" t="s">
        <v>401</v>
      </c>
      <c r="BF38" s="82" t="s">
        <v>81</v>
      </c>
      <c r="BG38" s="80" t="s">
        <v>85</v>
      </c>
      <c r="BH38" s="607"/>
      <c r="BI38" s="80" t="str">
        <f t="shared" si="2"/>
        <v>N/A</v>
      </c>
      <c r="BJ38" s="606"/>
      <c r="BK38" s="80" t="str">
        <f t="shared" si="23"/>
        <v>N/A</v>
      </c>
      <c r="BL38" s="80"/>
      <c r="BM38" s="80" t="str">
        <f t="shared" si="24"/>
        <v>N/A</v>
      </c>
      <c r="BN38" s="80"/>
      <c r="BO38" s="80" t="str">
        <f t="shared" si="25"/>
        <v>N/A</v>
      </c>
      <c r="BP38" s="80"/>
      <c r="BQ38" s="80" t="str">
        <f t="shared" si="26"/>
        <v>N/A</v>
      </c>
      <c r="BR38" s="80"/>
      <c r="BS38" s="80" t="str">
        <f t="shared" si="3"/>
        <v>N/A</v>
      </c>
      <c r="BT38" s="80"/>
      <c r="BU38" s="80" t="str">
        <f t="shared" si="4"/>
        <v>N/A</v>
      </c>
      <c r="BV38" s="80"/>
      <c r="BW38" s="80" t="str">
        <f t="shared" si="5"/>
        <v>N/A</v>
      </c>
      <c r="BX38" s="80"/>
      <c r="BY38" s="80" t="str">
        <f t="shared" si="6"/>
        <v>N/A</v>
      </c>
      <c r="BZ38" s="80"/>
      <c r="CA38" s="80" t="str">
        <f t="shared" si="7"/>
        <v>N/A</v>
      </c>
      <c r="CB38" s="80"/>
      <c r="CC38" s="80" t="str">
        <f t="shared" si="8"/>
        <v>N/A</v>
      </c>
      <c r="CD38" s="80"/>
      <c r="CE38" s="80" t="str">
        <f t="shared" si="9"/>
        <v>N/A</v>
      </c>
      <c r="CF38" s="80"/>
      <c r="CG38" s="80" t="str">
        <f t="shared" si="10"/>
        <v>N/A</v>
      </c>
      <c r="CH38" s="80"/>
      <c r="CI38" s="80" t="str">
        <f t="shared" si="11"/>
        <v>N/A</v>
      </c>
      <c r="CJ38" s="80"/>
      <c r="CK38" s="80" t="str">
        <f t="shared" si="12"/>
        <v>N/A</v>
      </c>
      <c r="CL38" s="80"/>
      <c r="CM38" s="80" t="str">
        <f t="shared" si="13"/>
        <v>N/A</v>
      </c>
      <c r="CN38" s="80"/>
      <c r="CO38" s="80" t="str">
        <f t="shared" si="14"/>
        <v>N/A</v>
      </c>
      <c r="CP38" s="80"/>
      <c r="CQ38" s="80" t="str">
        <f t="shared" si="0"/>
        <v>N/A</v>
      </c>
      <c r="CR38" s="80"/>
      <c r="CS38" s="80" t="str">
        <f t="shared" si="15"/>
        <v>N/A</v>
      </c>
      <c r="CT38" s="80"/>
      <c r="CU38" s="80" t="str">
        <f t="shared" si="16"/>
        <v>N/A</v>
      </c>
      <c r="CV38" s="80"/>
      <c r="CW38" s="80" t="str">
        <f t="shared" si="27"/>
        <v>N/A</v>
      </c>
      <c r="CX38" s="80"/>
      <c r="CY38" s="80" t="str">
        <f t="shared" si="28"/>
        <v>N/A</v>
      </c>
      <c r="CZ38" s="80"/>
      <c r="DA38" s="80" t="str">
        <f t="shared" si="1"/>
        <v>N/A</v>
      </c>
    </row>
    <row r="39" spans="3:105" ht="16.5" customHeight="1">
      <c r="C39" s="354" t="s">
        <v>304</v>
      </c>
      <c r="D39" s="270"/>
      <c r="E39" s="390"/>
      <c r="F39" s="391"/>
      <c r="BD39" s="364" t="s">
        <v>531</v>
      </c>
      <c r="BE39" s="472"/>
      <c r="BF39" s="472"/>
      <c r="BG39" s="472"/>
      <c r="BH39" s="472"/>
      <c r="BI39" s="472"/>
      <c r="BJ39" s="472"/>
      <c r="BK39" s="472"/>
      <c r="BL39" s="472"/>
      <c r="BM39" s="472"/>
      <c r="BN39" s="472"/>
      <c r="BO39" s="472"/>
      <c r="BP39" s="472"/>
      <c r="BQ39" s="472"/>
      <c r="BR39" s="472"/>
      <c r="BS39" s="472"/>
      <c r="BT39" s="472"/>
      <c r="BU39" s="472"/>
      <c r="BV39" s="472"/>
      <c r="BW39" s="472"/>
      <c r="BX39" s="472"/>
      <c r="BY39" s="472"/>
      <c r="BZ39" s="472"/>
      <c r="CA39" s="472"/>
      <c r="CB39" s="472"/>
      <c r="CC39" s="472"/>
      <c r="CD39" s="472"/>
      <c r="CE39" s="472"/>
      <c r="CF39" s="472"/>
      <c r="CG39" s="472"/>
      <c r="CH39" s="472"/>
      <c r="CI39" s="472"/>
      <c r="CJ39" s="472"/>
      <c r="CK39" s="472"/>
      <c r="CL39" s="472"/>
      <c r="CM39" s="472"/>
      <c r="CN39" s="472"/>
      <c r="CO39" s="472"/>
      <c r="CP39" s="472"/>
      <c r="CQ39" s="472"/>
      <c r="CR39" s="472"/>
      <c r="CS39" s="472"/>
      <c r="CT39" s="472"/>
      <c r="CU39" s="472"/>
      <c r="CV39" s="472"/>
      <c r="CW39" s="472"/>
      <c r="CX39" s="472"/>
      <c r="CY39" s="472"/>
      <c r="CZ39" s="472"/>
      <c r="DA39" s="472"/>
    </row>
    <row r="40" spans="3:105" ht="12" customHeight="1">
      <c r="C40" s="278" t="s">
        <v>148</v>
      </c>
      <c r="D40" s="767" t="s">
        <v>203</v>
      </c>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67"/>
      <c r="AL40" s="767"/>
      <c r="AM40" s="767"/>
      <c r="AN40" s="767"/>
      <c r="AO40" s="767"/>
      <c r="AP40" s="767"/>
      <c r="AQ40" s="767"/>
      <c r="AR40" s="767"/>
      <c r="AS40" s="767"/>
      <c r="AT40" s="767"/>
      <c r="AU40" s="767"/>
      <c r="AV40" s="767"/>
      <c r="AW40" s="767"/>
      <c r="AX40" s="767"/>
      <c r="AY40" s="767"/>
      <c r="AZ40" s="767"/>
      <c r="BA40" s="767"/>
      <c r="BB40" s="767"/>
      <c r="BD40" s="233" t="s">
        <v>301</v>
      </c>
      <c r="BE40" s="233" t="s">
        <v>302</v>
      </c>
      <c r="BF40" s="233" t="s">
        <v>305</v>
      </c>
      <c r="BG40" s="616">
        <v>1990</v>
      </c>
      <c r="BH40" s="617"/>
      <c r="BI40" s="616">
        <v>1995</v>
      </c>
      <c r="BJ40" s="617"/>
      <c r="BK40" s="616">
        <v>1996</v>
      </c>
      <c r="BL40" s="617"/>
      <c r="BM40" s="616">
        <v>1997</v>
      </c>
      <c r="BN40" s="617"/>
      <c r="BO40" s="616">
        <v>1998</v>
      </c>
      <c r="BP40" s="617"/>
      <c r="BQ40" s="616">
        <v>1999</v>
      </c>
      <c r="BR40" s="617"/>
      <c r="BS40" s="616">
        <v>2000</v>
      </c>
      <c r="BT40" s="617"/>
      <c r="BU40" s="616">
        <v>2001</v>
      </c>
      <c r="BV40" s="617"/>
      <c r="BW40" s="616">
        <v>2002</v>
      </c>
      <c r="BX40" s="617"/>
      <c r="BY40" s="616">
        <v>2003</v>
      </c>
      <c r="BZ40" s="617"/>
      <c r="CA40" s="616">
        <v>2004</v>
      </c>
      <c r="CB40" s="617"/>
      <c r="CC40" s="616">
        <v>2005</v>
      </c>
      <c r="CD40" s="617"/>
      <c r="CE40" s="616">
        <v>2006</v>
      </c>
      <c r="CF40" s="617"/>
      <c r="CG40" s="616">
        <v>2007</v>
      </c>
      <c r="CH40" s="617"/>
      <c r="CI40" s="616">
        <v>2008</v>
      </c>
      <c r="CJ40" s="617"/>
      <c r="CK40" s="616">
        <v>2009</v>
      </c>
      <c r="CL40" s="617"/>
      <c r="CM40" s="616">
        <v>2010</v>
      </c>
      <c r="CN40" s="617"/>
      <c r="CO40" s="616">
        <v>2011</v>
      </c>
      <c r="CP40" s="618"/>
      <c r="CQ40" s="616">
        <v>2012</v>
      </c>
      <c r="CR40" s="617"/>
      <c r="CS40" s="616">
        <v>2013</v>
      </c>
      <c r="CT40" s="617"/>
      <c r="CU40" s="616">
        <v>2014</v>
      </c>
      <c r="CV40" s="618"/>
      <c r="CW40" s="616">
        <v>2015</v>
      </c>
      <c r="CX40" s="617"/>
      <c r="CY40" s="616">
        <v>2016</v>
      </c>
      <c r="CZ40" s="618"/>
      <c r="DA40" s="616">
        <v>2017</v>
      </c>
    </row>
    <row r="41" spans="3:105" ht="10.5" customHeight="1">
      <c r="C41" s="278" t="s">
        <v>148</v>
      </c>
      <c r="D41" s="767" t="s">
        <v>264</v>
      </c>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67"/>
      <c r="AL41" s="767"/>
      <c r="AM41" s="767"/>
      <c r="AN41" s="767"/>
      <c r="AO41" s="767"/>
      <c r="AP41" s="767"/>
      <c r="AQ41" s="767"/>
      <c r="AR41" s="767"/>
      <c r="AS41" s="767"/>
      <c r="AT41" s="767"/>
      <c r="AU41" s="767"/>
      <c r="AV41" s="767"/>
      <c r="AW41" s="767"/>
      <c r="AX41" s="767"/>
      <c r="AY41" s="767"/>
      <c r="AZ41" s="767"/>
      <c r="BA41" s="767"/>
      <c r="BB41" s="767"/>
      <c r="BD41" s="376"/>
      <c r="BE41" s="392" t="s">
        <v>21</v>
      </c>
      <c r="BF41" s="376"/>
      <c r="BG41" s="83"/>
      <c r="BH41" s="607"/>
      <c r="BI41" s="83"/>
      <c r="BJ41" s="607"/>
      <c r="BK41" s="83"/>
      <c r="BL41" s="607"/>
      <c r="BM41" s="83"/>
      <c r="BN41" s="607"/>
      <c r="BO41" s="83"/>
      <c r="BP41" s="607"/>
      <c r="BQ41" s="83"/>
      <c r="BR41" s="607"/>
      <c r="BS41" s="83"/>
      <c r="BT41" s="607"/>
      <c r="BU41" s="83"/>
      <c r="BV41" s="607"/>
      <c r="BW41" s="82"/>
      <c r="BX41" s="607"/>
      <c r="BY41" s="82"/>
      <c r="BZ41" s="607"/>
      <c r="CA41" s="82"/>
      <c r="CB41" s="607"/>
      <c r="CC41" s="82"/>
      <c r="CD41" s="607"/>
      <c r="CE41" s="82"/>
      <c r="CF41" s="607"/>
      <c r="CG41" s="82"/>
      <c r="CH41" s="607"/>
      <c r="CI41" s="83"/>
      <c r="CJ41" s="607"/>
      <c r="CK41" s="82"/>
      <c r="CL41" s="607"/>
      <c r="CM41" s="82"/>
      <c r="CN41" s="607"/>
      <c r="CO41" s="82"/>
      <c r="CP41" s="607"/>
      <c r="CQ41" s="82"/>
      <c r="CR41" s="607"/>
      <c r="CS41" s="82"/>
      <c r="CT41" s="607"/>
      <c r="CU41" s="82"/>
      <c r="CV41" s="607"/>
      <c r="CW41" s="82"/>
      <c r="CX41" s="607"/>
      <c r="CY41" s="82"/>
      <c r="CZ41" s="607"/>
      <c r="DA41" s="82"/>
    </row>
    <row r="42" spans="1:119" s="193" customFormat="1" ht="9.75" customHeight="1">
      <c r="A42" s="280"/>
      <c r="B42" s="280"/>
      <c r="C42" s="278" t="s">
        <v>148</v>
      </c>
      <c r="D42" s="777" t="s">
        <v>149</v>
      </c>
      <c r="E42" s="777"/>
      <c r="F42" s="777"/>
      <c r="G42" s="777"/>
      <c r="H42" s="777"/>
      <c r="I42" s="777"/>
      <c r="J42" s="777"/>
      <c r="K42" s="777"/>
      <c r="L42" s="777"/>
      <c r="M42" s="777"/>
      <c r="N42" s="777"/>
      <c r="O42" s="777"/>
      <c r="P42" s="777"/>
      <c r="Q42" s="777"/>
      <c r="R42" s="777"/>
      <c r="S42" s="777"/>
      <c r="T42" s="777"/>
      <c r="U42" s="777"/>
      <c r="V42" s="777"/>
      <c r="W42" s="777"/>
      <c r="X42" s="777"/>
      <c r="Y42" s="777"/>
      <c r="Z42" s="777"/>
      <c r="AA42" s="777"/>
      <c r="AB42" s="777"/>
      <c r="AC42" s="777"/>
      <c r="AD42" s="777"/>
      <c r="AE42" s="777"/>
      <c r="AF42" s="777"/>
      <c r="AG42" s="777"/>
      <c r="AH42" s="777"/>
      <c r="AI42" s="777"/>
      <c r="AJ42" s="777"/>
      <c r="AK42" s="777"/>
      <c r="AL42" s="777"/>
      <c r="AM42" s="777"/>
      <c r="AN42" s="777"/>
      <c r="AO42" s="777"/>
      <c r="AP42" s="777"/>
      <c r="AQ42" s="777"/>
      <c r="AR42" s="777"/>
      <c r="AS42" s="777"/>
      <c r="AT42" s="777"/>
      <c r="AU42" s="777"/>
      <c r="AV42" s="777"/>
      <c r="AW42" s="777"/>
      <c r="AX42" s="777"/>
      <c r="AY42" s="777"/>
      <c r="AZ42" s="777"/>
      <c r="BA42" s="777"/>
      <c r="BB42" s="777"/>
      <c r="BC42" s="393"/>
      <c r="BD42" s="394">
        <v>3</v>
      </c>
      <c r="BE42" s="563" t="s">
        <v>125</v>
      </c>
      <c r="BF42" s="97" t="s">
        <v>81</v>
      </c>
      <c r="BG42" s="80">
        <f>F10</f>
        <v>0</v>
      </c>
      <c r="BH42" s="80"/>
      <c r="BI42" s="80">
        <f aca="true" t="shared" si="29" ref="BI42:DA42">H10</f>
        <v>2431</v>
      </c>
      <c r="BJ42" s="80"/>
      <c r="BK42" s="80">
        <f t="shared" si="29"/>
        <v>0</v>
      </c>
      <c r="BL42" s="80"/>
      <c r="BM42" s="80">
        <f t="shared" si="29"/>
        <v>0</v>
      </c>
      <c r="BN42" s="80"/>
      <c r="BO42" s="80">
        <f t="shared" si="29"/>
        <v>0</v>
      </c>
      <c r="BP42" s="80"/>
      <c r="BQ42" s="80">
        <f t="shared" si="29"/>
        <v>0</v>
      </c>
      <c r="BR42" s="80"/>
      <c r="BS42" s="80">
        <f t="shared" si="29"/>
        <v>0</v>
      </c>
      <c r="BT42" s="80"/>
      <c r="BU42" s="80">
        <f t="shared" si="29"/>
        <v>0</v>
      </c>
      <c r="BV42" s="80"/>
      <c r="BW42" s="80">
        <f t="shared" si="29"/>
        <v>0</v>
      </c>
      <c r="BX42" s="80"/>
      <c r="BY42" s="80">
        <f t="shared" si="29"/>
        <v>0</v>
      </c>
      <c r="BZ42" s="80"/>
      <c r="CA42" s="80">
        <f t="shared" si="29"/>
        <v>0</v>
      </c>
      <c r="CB42" s="80"/>
      <c r="CC42" s="80">
        <f t="shared" si="29"/>
        <v>0</v>
      </c>
      <c r="CD42" s="80"/>
      <c r="CE42" s="80">
        <f t="shared" si="29"/>
        <v>0</v>
      </c>
      <c r="CF42" s="80"/>
      <c r="CG42" s="80">
        <f t="shared" si="29"/>
        <v>0</v>
      </c>
      <c r="CH42" s="80"/>
      <c r="CI42" s="80">
        <f t="shared" si="29"/>
        <v>0</v>
      </c>
      <c r="CJ42" s="80"/>
      <c r="CK42" s="80">
        <f t="shared" si="29"/>
        <v>0</v>
      </c>
      <c r="CL42" s="80"/>
      <c r="CM42" s="80">
        <f t="shared" si="29"/>
        <v>0</v>
      </c>
      <c r="CN42" s="80"/>
      <c r="CO42" s="80">
        <f t="shared" si="29"/>
        <v>0</v>
      </c>
      <c r="CP42" s="80"/>
      <c r="CQ42" s="80">
        <f t="shared" si="29"/>
        <v>0</v>
      </c>
      <c r="CR42" s="80"/>
      <c r="CS42" s="80">
        <f t="shared" si="29"/>
        <v>0</v>
      </c>
      <c r="CT42" s="80"/>
      <c r="CU42" s="80">
        <f t="shared" si="29"/>
        <v>0</v>
      </c>
      <c r="CV42" s="80"/>
      <c r="CW42" s="80">
        <f t="shared" si="29"/>
        <v>0</v>
      </c>
      <c r="CX42" s="80"/>
      <c r="CY42" s="80">
        <f t="shared" si="29"/>
        <v>0</v>
      </c>
      <c r="CZ42" s="80"/>
      <c r="DA42" s="80">
        <f t="shared" si="29"/>
        <v>0</v>
      </c>
      <c r="DB42" s="285"/>
      <c r="DC42" s="285"/>
      <c r="DD42" s="285"/>
      <c r="DE42" s="285"/>
      <c r="DF42" s="285"/>
      <c r="DG42" s="285"/>
      <c r="DH42" s="285"/>
      <c r="DI42" s="285"/>
      <c r="DJ42" s="285"/>
      <c r="DK42" s="285"/>
      <c r="DL42" s="285"/>
      <c r="DM42" s="285"/>
      <c r="DN42" s="285"/>
      <c r="DO42" s="285"/>
    </row>
    <row r="43" spans="1:119" s="193" customFormat="1" ht="12.75">
      <c r="A43" s="280"/>
      <c r="B43" s="280"/>
      <c r="C43" s="278" t="s">
        <v>148</v>
      </c>
      <c r="D43" s="767" t="s">
        <v>114</v>
      </c>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767"/>
      <c r="AQ43" s="767"/>
      <c r="AR43" s="767"/>
      <c r="AS43" s="767"/>
      <c r="AT43" s="767"/>
      <c r="AU43" s="767"/>
      <c r="AV43" s="767"/>
      <c r="AW43" s="767"/>
      <c r="AX43" s="767"/>
      <c r="AY43" s="767"/>
      <c r="AZ43" s="767"/>
      <c r="BA43" s="767"/>
      <c r="BB43" s="767"/>
      <c r="BC43" s="393"/>
      <c r="BD43" s="299">
        <v>30</v>
      </c>
      <c r="BE43" s="395" t="s">
        <v>237</v>
      </c>
      <c r="BF43" s="97" t="s">
        <v>81</v>
      </c>
      <c r="BG43" s="83">
        <f>F8+F9</f>
        <v>0</v>
      </c>
      <c r="BH43" s="83"/>
      <c r="BI43" s="83">
        <f aca="true" t="shared" si="30" ref="BI43:DA43">H8+H9</f>
        <v>2430.5</v>
      </c>
      <c r="BJ43" s="83"/>
      <c r="BK43" s="83">
        <f t="shared" si="30"/>
        <v>0</v>
      </c>
      <c r="BL43" s="83"/>
      <c r="BM43" s="83">
        <f t="shared" si="30"/>
        <v>0</v>
      </c>
      <c r="BN43" s="83"/>
      <c r="BO43" s="83">
        <f t="shared" si="30"/>
        <v>0</v>
      </c>
      <c r="BP43" s="83"/>
      <c r="BQ43" s="83">
        <f t="shared" si="30"/>
        <v>0</v>
      </c>
      <c r="BR43" s="83"/>
      <c r="BS43" s="83">
        <f t="shared" si="30"/>
        <v>0</v>
      </c>
      <c r="BT43" s="83"/>
      <c r="BU43" s="83">
        <f t="shared" si="30"/>
        <v>0</v>
      </c>
      <c r="BV43" s="83"/>
      <c r="BW43" s="83">
        <f t="shared" si="30"/>
        <v>0</v>
      </c>
      <c r="BX43" s="83"/>
      <c r="BY43" s="83">
        <f t="shared" si="30"/>
        <v>0</v>
      </c>
      <c r="BZ43" s="83"/>
      <c r="CA43" s="83">
        <f t="shared" si="30"/>
        <v>0</v>
      </c>
      <c r="CB43" s="83"/>
      <c r="CC43" s="83">
        <f t="shared" si="30"/>
        <v>0</v>
      </c>
      <c r="CD43" s="83"/>
      <c r="CE43" s="83">
        <f t="shared" si="30"/>
        <v>0</v>
      </c>
      <c r="CF43" s="83"/>
      <c r="CG43" s="83">
        <f t="shared" si="30"/>
        <v>0</v>
      </c>
      <c r="CH43" s="83"/>
      <c r="CI43" s="83">
        <f t="shared" si="30"/>
        <v>0</v>
      </c>
      <c r="CJ43" s="83"/>
      <c r="CK43" s="83">
        <f t="shared" si="30"/>
        <v>0</v>
      </c>
      <c r="CL43" s="83"/>
      <c r="CM43" s="83">
        <f t="shared" si="30"/>
        <v>0</v>
      </c>
      <c r="CN43" s="83"/>
      <c r="CO43" s="83">
        <f t="shared" si="30"/>
        <v>0</v>
      </c>
      <c r="CP43" s="83"/>
      <c r="CQ43" s="83">
        <f t="shared" si="30"/>
        <v>0</v>
      </c>
      <c r="CR43" s="83"/>
      <c r="CS43" s="83">
        <f t="shared" si="30"/>
        <v>0</v>
      </c>
      <c r="CT43" s="83"/>
      <c r="CU43" s="83">
        <f t="shared" si="30"/>
        <v>0</v>
      </c>
      <c r="CV43" s="83"/>
      <c r="CW43" s="83">
        <f t="shared" si="30"/>
        <v>0</v>
      </c>
      <c r="CX43" s="83"/>
      <c r="CY43" s="83">
        <f t="shared" si="30"/>
        <v>2284.486</v>
      </c>
      <c r="CZ43" s="83"/>
      <c r="DA43" s="83">
        <f t="shared" si="30"/>
        <v>0</v>
      </c>
      <c r="DB43" s="285"/>
      <c r="DC43" s="285"/>
      <c r="DD43" s="285"/>
      <c r="DE43" s="285"/>
      <c r="DF43" s="285"/>
      <c r="DG43" s="285"/>
      <c r="DH43" s="285"/>
      <c r="DI43" s="285"/>
      <c r="DJ43" s="285"/>
      <c r="DK43" s="285"/>
      <c r="DL43" s="285"/>
      <c r="DM43" s="285"/>
      <c r="DN43" s="285"/>
      <c r="DO43" s="285"/>
    </row>
    <row r="44" spans="1:119" s="193" customFormat="1" ht="3" customHeight="1">
      <c r="A44" s="280"/>
      <c r="B44" s="280"/>
      <c r="C44" s="278"/>
      <c r="D44" s="771"/>
      <c r="E44" s="771"/>
      <c r="F44" s="771"/>
      <c r="G44" s="771"/>
      <c r="H44" s="771"/>
      <c r="I44" s="771"/>
      <c r="J44" s="771"/>
      <c r="K44" s="771"/>
      <c r="L44" s="771"/>
      <c r="M44" s="771"/>
      <c r="N44" s="771"/>
      <c r="O44" s="771"/>
      <c r="P44" s="771"/>
      <c r="Q44" s="771"/>
      <c r="R44" s="771"/>
      <c r="S44" s="771"/>
      <c r="T44" s="771"/>
      <c r="U44" s="771"/>
      <c r="V44" s="771"/>
      <c r="W44" s="771"/>
      <c r="X44" s="771"/>
      <c r="Y44" s="771"/>
      <c r="Z44" s="771"/>
      <c r="AA44" s="771"/>
      <c r="AB44" s="771"/>
      <c r="AC44" s="771"/>
      <c r="AD44" s="771"/>
      <c r="AE44" s="771"/>
      <c r="AF44" s="771"/>
      <c r="AG44" s="771"/>
      <c r="AH44" s="771"/>
      <c r="AI44" s="771"/>
      <c r="AJ44" s="771"/>
      <c r="AK44" s="771"/>
      <c r="AL44" s="771"/>
      <c r="AM44" s="771"/>
      <c r="AN44" s="771"/>
      <c r="AO44" s="771"/>
      <c r="AP44" s="771"/>
      <c r="AQ44" s="771"/>
      <c r="AR44" s="771"/>
      <c r="AS44" s="771"/>
      <c r="AT44" s="771"/>
      <c r="AU44" s="771"/>
      <c r="AV44" s="771"/>
      <c r="AW44" s="771"/>
      <c r="AX44" s="771"/>
      <c r="AY44" s="771"/>
      <c r="AZ44" s="771"/>
      <c r="BA44" s="771"/>
      <c r="BB44" s="771"/>
      <c r="BC44" s="393"/>
      <c r="BD44" s="287" t="s">
        <v>182</v>
      </c>
      <c r="BE44" s="395" t="s">
        <v>596</v>
      </c>
      <c r="BF44" s="97"/>
      <c r="BG44" s="80" t="str">
        <f>IF(OR(ISBLANK(F8),ISBLANK(F9),ISBLANK(F10)),"N/A",IF((BG42=BG43),"ok","&lt;&gt;"))</f>
        <v>N/A</v>
      </c>
      <c r="BH44" s="80"/>
      <c r="BI44" s="80" t="str">
        <f aca="true" t="shared" si="31" ref="BI44:DA44">IF(OR(ISBLANK(H8),ISBLANK(H9),ISBLANK(H10)),"N/A",IF((BI42=BI43),"ok","&lt;&gt;"))</f>
        <v>&lt;&gt;</v>
      </c>
      <c r="BJ44" s="80"/>
      <c r="BK44" s="80" t="str">
        <f t="shared" si="31"/>
        <v>N/A</v>
      </c>
      <c r="BL44" s="80"/>
      <c r="BM44" s="80" t="str">
        <f t="shared" si="31"/>
        <v>N/A</v>
      </c>
      <c r="BN44" s="80"/>
      <c r="BO44" s="80" t="str">
        <f t="shared" si="31"/>
        <v>N/A</v>
      </c>
      <c r="BP44" s="80"/>
      <c r="BQ44" s="80" t="str">
        <f t="shared" si="31"/>
        <v>N/A</v>
      </c>
      <c r="BR44" s="80"/>
      <c r="BS44" s="80" t="str">
        <f t="shared" si="31"/>
        <v>N/A</v>
      </c>
      <c r="BT44" s="80"/>
      <c r="BU44" s="80" t="str">
        <f t="shared" si="31"/>
        <v>N/A</v>
      </c>
      <c r="BV44" s="80"/>
      <c r="BW44" s="80" t="str">
        <f t="shared" si="31"/>
        <v>N/A</v>
      </c>
      <c r="BX44" s="80"/>
      <c r="BY44" s="80" t="str">
        <f t="shared" si="31"/>
        <v>N/A</v>
      </c>
      <c r="BZ44" s="80"/>
      <c r="CA44" s="80" t="str">
        <f t="shared" si="31"/>
        <v>N/A</v>
      </c>
      <c r="CB44" s="80"/>
      <c r="CC44" s="80" t="str">
        <f t="shared" si="31"/>
        <v>N/A</v>
      </c>
      <c r="CD44" s="80"/>
      <c r="CE44" s="80" t="str">
        <f t="shared" si="31"/>
        <v>N/A</v>
      </c>
      <c r="CF44" s="80"/>
      <c r="CG44" s="80" t="str">
        <f t="shared" si="31"/>
        <v>N/A</v>
      </c>
      <c r="CH44" s="80"/>
      <c r="CI44" s="80" t="str">
        <f t="shared" si="31"/>
        <v>N/A</v>
      </c>
      <c r="CJ44" s="80"/>
      <c r="CK44" s="80" t="str">
        <f t="shared" si="31"/>
        <v>N/A</v>
      </c>
      <c r="CL44" s="80"/>
      <c r="CM44" s="80" t="str">
        <f t="shared" si="31"/>
        <v>N/A</v>
      </c>
      <c r="CN44" s="80"/>
      <c r="CO44" s="80" t="str">
        <f t="shared" si="31"/>
        <v>N/A</v>
      </c>
      <c r="CP44" s="80"/>
      <c r="CQ44" s="80" t="str">
        <f t="shared" si="31"/>
        <v>N/A</v>
      </c>
      <c r="CR44" s="80"/>
      <c r="CS44" s="80" t="str">
        <f t="shared" si="31"/>
        <v>N/A</v>
      </c>
      <c r="CT44" s="80"/>
      <c r="CU44" s="80" t="str">
        <f t="shared" si="31"/>
        <v>N/A</v>
      </c>
      <c r="CV44" s="80"/>
      <c r="CW44" s="80" t="str">
        <f t="shared" si="31"/>
        <v>N/A</v>
      </c>
      <c r="CX44" s="80"/>
      <c r="CY44" s="80" t="str">
        <f t="shared" si="31"/>
        <v>N/A</v>
      </c>
      <c r="CZ44" s="80"/>
      <c r="DA44" s="80" t="str">
        <f t="shared" si="31"/>
        <v>N/A</v>
      </c>
      <c r="DB44" s="285"/>
      <c r="DC44" s="285"/>
      <c r="DD44" s="285"/>
      <c r="DE44" s="285"/>
      <c r="DF44" s="285"/>
      <c r="DG44" s="285"/>
      <c r="DH44" s="285"/>
      <c r="DI44" s="285"/>
      <c r="DJ44" s="285"/>
      <c r="DK44" s="285"/>
      <c r="DL44" s="285"/>
      <c r="DM44" s="285"/>
      <c r="DN44" s="285"/>
      <c r="DO44" s="285"/>
    </row>
    <row r="45" spans="1:105" s="378" customFormat="1" ht="19.5" customHeight="1">
      <c r="A45" s="212"/>
      <c r="B45" s="181"/>
      <c r="C45" s="550"/>
      <c r="D45" s="294"/>
      <c r="E45" s="807" t="str">
        <f>LEFT(D10,LEN(D10)-7)&amp;" (W2,3)"</f>
        <v>Freshwater abstracted (W2,3)</v>
      </c>
      <c r="F45" s="805"/>
      <c r="G45" s="805"/>
      <c r="H45" s="806"/>
      <c r="I45" s="289"/>
      <c r="J45" s="289"/>
      <c r="K45" s="289"/>
      <c r="L45" s="289"/>
      <c r="M45" s="289"/>
      <c r="N45" s="289"/>
      <c r="O45" s="289"/>
      <c r="P45" s="289"/>
      <c r="Q45" s="289"/>
      <c r="R45" s="289"/>
      <c r="S45" s="289"/>
      <c r="T45" s="289"/>
      <c r="U45" s="289"/>
      <c r="V45" s="289"/>
      <c r="W45" s="289"/>
      <c r="X45" s="289"/>
      <c r="Y45" s="289"/>
      <c r="Z45" s="289"/>
      <c r="AA45" s="289"/>
      <c r="AB45" s="289"/>
      <c r="AC45" s="294"/>
      <c r="AD45" s="294"/>
      <c r="AE45" s="551"/>
      <c r="AF45" s="551"/>
      <c r="AG45" s="551"/>
      <c r="AH45" s="551"/>
      <c r="AI45" s="551"/>
      <c r="AJ45" s="551"/>
      <c r="AK45" s="551"/>
      <c r="AL45" s="551"/>
      <c r="AM45" s="551"/>
      <c r="AN45" s="551"/>
      <c r="AO45" s="551"/>
      <c r="AP45" s="551"/>
      <c r="AQ45" s="753"/>
      <c r="AR45" s="753"/>
      <c r="AS45" s="753"/>
      <c r="AT45" s="753"/>
      <c r="AU45" s="753"/>
      <c r="AV45" s="753"/>
      <c r="AW45" s="753"/>
      <c r="AX45" s="753"/>
      <c r="AY45" s="753"/>
      <c r="AZ45" s="753"/>
      <c r="BA45" s="551"/>
      <c r="BB45" s="209"/>
      <c r="BC45" s="215"/>
      <c r="BD45" s="376">
        <v>18</v>
      </c>
      <c r="BE45" s="377" t="s">
        <v>558</v>
      </c>
      <c r="BF45" s="97" t="s">
        <v>81</v>
      </c>
      <c r="BG45" s="83">
        <f>F26</f>
        <v>0</v>
      </c>
      <c r="BH45" s="83"/>
      <c r="BI45" s="83">
        <f aca="true" t="shared" si="32" ref="BI45:DA45">H26</f>
        <v>0</v>
      </c>
      <c r="BJ45" s="83"/>
      <c r="BK45" s="83">
        <f t="shared" si="32"/>
        <v>0</v>
      </c>
      <c r="BL45" s="83"/>
      <c r="BM45" s="83">
        <f t="shared" si="32"/>
        <v>0</v>
      </c>
      <c r="BN45" s="83"/>
      <c r="BO45" s="83">
        <f t="shared" si="32"/>
        <v>0</v>
      </c>
      <c r="BP45" s="83"/>
      <c r="BQ45" s="83">
        <f t="shared" si="32"/>
        <v>0</v>
      </c>
      <c r="BR45" s="83"/>
      <c r="BS45" s="83">
        <f t="shared" si="32"/>
        <v>0</v>
      </c>
      <c r="BT45" s="83"/>
      <c r="BU45" s="83">
        <f t="shared" si="32"/>
        <v>0</v>
      </c>
      <c r="BV45" s="83"/>
      <c r="BW45" s="83">
        <f t="shared" si="32"/>
        <v>0</v>
      </c>
      <c r="BX45" s="83"/>
      <c r="BY45" s="83">
        <f t="shared" si="32"/>
        <v>0</v>
      </c>
      <c r="BZ45" s="83"/>
      <c r="CA45" s="83">
        <f t="shared" si="32"/>
        <v>0</v>
      </c>
      <c r="CB45" s="83"/>
      <c r="CC45" s="83">
        <f t="shared" si="32"/>
        <v>0</v>
      </c>
      <c r="CD45" s="83"/>
      <c r="CE45" s="83">
        <f t="shared" si="32"/>
        <v>0</v>
      </c>
      <c r="CF45" s="83"/>
      <c r="CG45" s="83">
        <f t="shared" si="32"/>
        <v>0</v>
      </c>
      <c r="CH45" s="83"/>
      <c r="CI45" s="83">
        <f t="shared" si="32"/>
        <v>0</v>
      </c>
      <c r="CJ45" s="83"/>
      <c r="CK45" s="83">
        <f t="shared" si="32"/>
        <v>0</v>
      </c>
      <c r="CL45" s="83"/>
      <c r="CM45" s="83">
        <f t="shared" si="32"/>
        <v>0</v>
      </c>
      <c r="CN45" s="83"/>
      <c r="CO45" s="83">
        <f t="shared" si="32"/>
        <v>0</v>
      </c>
      <c r="CP45" s="83"/>
      <c r="CQ45" s="83">
        <f t="shared" si="32"/>
        <v>0</v>
      </c>
      <c r="CR45" s="83"/>
      <c r="CS45" s="83">
        <f t="shared" si="32"/>
        <v>0</v>
      </c>
      <c r="CT45" s="83"/>
      <c r="CU45" s="83">
        <f t="shared" si="32"/>
        <v>0</v>
      </c>
      <c r="CV45" s="83"/>
      <c r="CW45" s="83">
        <f t="shared" si="32"/>
        <v>0</v>
      </c>
      <c r="CX45" s="83"/>
      <c r="CY45" s="83">
        <f t="shared" si="32"/>
        <v>0</v>
      </c>
      <c r="CZ45" s="83"/>
      <c r="DA45" s="83">
        <f t="shared" si="32"/>
        <v>0</v>
      </c>
    </row>
    <row r="46" spans="3:105" ht="15" customHeight="1">
      <c r="C46" s="550"/>
      <c r="D46" s="552" t="str">
        <f>D11</f>
        <v>of which abstracted by:</v>
      </c>
      <c r="E46" s="553"/>
      <c r="F46" s="289"/>
      <c r="G46" s="289"/>
      <c r="H46" s="289"/>
      <c r="I46" s="289"/>
      <c r="J46" s="289"/>
      <c r="K46" s="289"/>
      <c r="L46" s="289"/>
      <c r="M46" s="289"/>
      <c r="N46" s="289"/>
      <c r="O46" s="289"/>
      <c r="P46" s="289"/>
      <c r="Q46" s="289"/>
      <c r="R46" s="289"/>
      <c r="S46" s="289"/>
      <c r="T46" s="289"/>
      <c r="U46" s="289"/>
      <c r="V46" s="289"/>
      <c r="W46" s="289"/>
      <c r="X46" s="289"/>
      <c r="Y46" s="289"/>
      <c r="Z46" s="289"/>
      <c r="AK46" s="551"/>
      <c r="AL46" s="551"/>
      <c r="AM46" s="551"/>
      <c r="AN46" s="551"/>
      <c r="AO46" s="551"/>
      <c r="AP46" s="555"/>
      <c r="AQ46" s="753"/>
      <c r="AR46" s="753"/>
      <c r="AS46" s="753"/>
      <c r="AT46" s="753"/>
      <c r="AU46" s="753"/>
      <c r="AV46" s="753"/>
      <c r="AW46" s="753"/>
      <c r="AX46" s="753"/>
      <c r="AY46" s="753"/>
      <c r="AZ46" s="753"/>
      <c r="BA46" s="810"/>
      <c r="BB46" s="209"/>
      <c r="BD46" s="299">
        <v>31</v>
      </c>
      <c r="BE46" s="395" t="s">
        <v>597</v>
      </c>
      <c r="BF46" s="97" t="s">
        <v>81</v>
      </c>
      <c r="BG46" s="83">
        <f>F10+F22+F23+F24-F25</f>
        <v>0</v>
      </c>
      <c r="BH46" s="83"/>
      <c r="BI46" s="83">
        <f aca="true" t="shared" si="33" ref="BI46:DA46">H10+H22+H23+H24-H25</f>
        <v>2431</v>
      </c>
      <c r="BJ46" s="83"/>
      <c r="BK46" s="83">
        <f t="shared" si="33"/>
        <v>0</v>
      </c>
      <c r="BL46" s="83"/>
      <c r="BM46" s="83">
        <f t="shared" si="33"/>
        <v>0</v>
      </c>
      <c r="BN46" s="83"/>
      <c r="BO46" s="83">
        <f t="shared" si="33"/>
        <v>0</v>
      </c>
      <c r="BP46" s="83"/>
      <c r="BQ46" s="83">
        <f t="shared" si="33"/>
        <v>0</v>
      </c>
      <c r="BR46" s="83"/>
      <c r="BS46" s="83">
        <f t="shared" si="33"/>
        <v>0</v>
      </c>
      <c r="BT46" s="83"/>
      <c r="BU46" s="83">
        <f t="shared" si="33"/>
        <v>0</v>
      </c>
      <c r="BV46" s="83"/>
      <c r="BW46" s="83">
        <f t="shared" si="33"/>
        <v>0</v>
      </c>
      <c r="BX46" s="83"/>
      <c r="BY46" s="83">
        <f t="shared" si="33"/>
        <v>0</v>
      </c>
      <c r="BZ46" s="83"/>
      <c r="CA46" s="83">
        <f t="shared" si="33"/>
        <v>0</v>
      </c>
      <c r="CB46" s="83"/>
      <c r="CC46" s="83">
        <f t="shared" si="33"/>
        <v>0</v>
      </c>
      <c r="CD46" s="83"/>
      <c r="CE46" s="83">
        <f t="shared" si="33"/>
        <v>0</v>
      </c>
      <c r="CF46" s="83"/>
      <c r="CG46" s="83">
        <f t="shared" si="33"/>
        <v>0</v>
      </c>
      <c r="CH46" s="83"/>
      <c r="CI46" s="83">
        <f t="shared" si="33"/>
        <v>0</v>
      </c>
      <c r="CJ46" s="83"/>
      <c r="CK46" s="83">
        <f t="shared" si="33"/>
        <v>0</v>
      </c>
      <c r="CL46" s="83"/>
      <c r="CM46" s="83">
        <f t="shared" si="33"/>
        <v>0</v>
      </c>
      <c r="CN46" s="83"/>
      <c r="CO46" s="83">
        <f t="shared" si="33"/>
        <v>0</v>
      </c>
      <c r="CP46" s="83"/>
      <c r="CQ46" s="83">
        <f t="shared" si="33"/>
        <v>0</v>
      </c>
      <c r="CR46" s="83"/>
      <c r="CS46" s="83">
        <f t="shared" si="33"/>
        <v>0</v>
      </c>
      <c r="CT46" s="83"/>
      <c r="CU46" s="83">
        <f t="shared" si="33"/>
        <v>0</v>
      </c>
      <c r="CV46" s="83"/>
      <c r="CW46" s="83">
        <f t="shared" si="33"/>
        <v>0</v>
      </c>
      <c r="CX46" s="83"/>
      <c r="CY46" s="83">
        <f t="shared" si="33"/>
        <v>0</v>
      </c>
      <c r="CZ46" s="83"/>
      <c r="DA46" s="83">
        <f t="shared" si="33"/>
        <v>0</v>
      </c>
    </row>
    <row r="47" spans="3:105" ht="21.75" customHeight="1">
      <c r="C47" s="550"/>
      <c r="D47" s="549" t="str">
        <f>D12&amp;" (W2,4)"</f>
        <v>Water supply industry (ISIC 36) (W2,4)</v>
      </c>
      <c r="E47" s="556"/>
      <c r="F47" s="794" t="str">
        <f>D22&amp;" (W2,14)"</f>
        <v>Desalinated water (W2,14)</v>
      </c>
      <c r="G47" s="795"/>
      <c r="H47" s="796"/>
      <c r="I47" s="551"/>
      <c r="J47" s="551"/>
      <c r="K47" s="551"/>
      <c r="L47" s="551"/>
      <c r="M47" s="551"/>
      <c r="N47" s="551"/>
      <c r="O47" s="551"/>
      <c r="P47" s="551"/>
      <c r="Q47" s="551"/>
      <c r="R47" s="551"/>
      <c r="S47" s="551"/>
      <c r="T47" s="551"/>
      <c r="U47" s="551"/>
      <c r="V47" s="551"/>
      <c r="W47" s="551"/>
      <c r="X47" s="551"/>
      <c r="Y47" s="551"/>
      <c r="Z47" s="289"/>
      <c r="AA47" s="571"/>
      <c r="AB47" s="571"/>
      <c r="AC47" s="551"/>
      <c r="AD47" s="551"/>
      <c r="AE47" s="289"/>
      <c r="AF47" s="571"/>
      <c r="AG47" s="571"/>
      <c r="AH47" s="571"/>
      <c r="AI47" s="554"/>
      <c r="AJ47" s="554"/>
      <c r="AK47" s="753"/>
      <c r="AL47" s="810"/>
      <c r="AM47" s="810"/>
      <c r="AN47" s="551"/>
      <c r="AO47" s="551"/>
      <c r="AP47" s="551"/>
      <c r="AQ47" s="628"/>
      <c r="AR47" s="628"/>
      <c r="AS47" s="628"/>
      <c r="AT47" s="628"/>
      <c r="AU47" s="628"/>
      <c r="AV47" s="628"/>
      <c r="AW47" s="628"/>
      <c r="AX47" s="628"/>
      <c r="AY47" s="628"/>
      <c r="AZ47" s="628"/>
      <c r="BA47" s="628"/>
      <c r="BB47" s="209"/>
      <c r="BD47" s="287" t="s">
        <v>182</v>
      </c>
      <c r="BE47" s="395" t="s">
        <v>598</v>
      </c>
      <c r="BF47" s="97"/>
      <c r="BG47" s="80" t="str">
        <f>IF(OR(ISBLANK(F10),ISBLANK(F22),ISBLANK(F23),ISBLANK(F24),ISBLANK(F25),ISBLANK(F26)),"N/A",IF((BG45=BG46),"ok","&lt;&gt;"))</f>
        <v>N/A</v>
      </c>
      <c r="BH47" s="80"/>
      <c r="BI47" s="80" t="str">
        <f aca="true" t="shared" si="34" ref="BI47:DA47">IF(OR(ISBLANK(H10),ISBLANK(H22),ISBLANK(H23),ISBLANK(H24),ISBLANK(H25),ISBLANK(H26)),"N/A",IF((BI45=BI46),"ok","&lt;&gt;"))</f>
        <v>N/A</v>
      </c>
      <c r="BJ47" s="80"/>
      <c r="BK47" s="80" t="str">
        <f t="shared" si="34"/>
        <v>N/A</v>
      </c>
      <c r="BL47" s="80"/>
      <c r="BM47" s="80" t="str">
        <f t="shared" si="34"/>
        <v>N/A</v>
      </c>
      <c r="BN47" s="80"/>
      <c r="BO47" s="80" t="str">
        <f t="shared" si="34"/>
        <v>N/A</v>
      </c>
      <c r="BP47" s="80"/>
      <c r="BQ47" s="80" t="str">
        <f t="shared" si="34"/>
        <v>N/A</v>
      </c>
      <c r="BR47" s="80"/>
      <c r="BS47" s="80" t="str">
        <f t="shared" si="34"/>
        <v>N/A</v>
      </c>
      <c r="BT47" s="80"/>
      <c r="BU47" s="80" t="str">
        <f t="shared" si="34"/>
        <v>N/A</v>
      </c>
      <c r="BV47" s="80"/>
      <c r="BW47" s="80" t="str">
        <f t="shared" si="34"/>
        <v>N/A</v>
      </c>
      <c r="BX47" s="80"/>
      <c r="BY47" s="80" t="str">
        <f t="shared" si="34"/>
        <v>N/A</v>
      </c>
      <c r="BZ47" s="80"/>
      <c r="CA47" s="80" t="str">
        <f t="shared" si="34"/>
        <v>N/A</v>
      </c>
      <c r="CB47" s="80"/>
      <c r="CC47" s="80" t="str">
        <f t="shared" si="34"/>
        <v>N/A</v>
      </c>
      <c r="CD47" s="80"/>
      <c r="CE47" s="80" t="str">
        <f t="shared" si="34"/>
        <v>N/A</v>
      </c>
      <c r="CF47" s="80"/>
      <c r="CG47" s="80" t="str">
        <f t="shared" si="34"/>
        <v>N/A</v>
      </c>
      <c r="CH47" s="80"/>
      <c r="CI47" s="80" t="str">
        <f t="shared" si="34"/>
        <v>N/A</v>
      </c>
      <c r="CJ47" s="80"/>
      <c r="CK47" s="80" t="str">
        <f t="shared" si="34"/>
        <v>N/A</v>
      </c>
      <c r="CL47" s="80"/>
      <c r="CM47" s="80" t="str">
        <f t="shared" si="34"/>
        <v>N/A</v>
      </c>
      <c r="CN47" s="80"/>
      <c r="CO47" s="80" t="str">
        <f t="shared" si="34"/>
        <v>N/A</v>
      </c>
      <c r="CP47" s="80"/>
      <c r="CQ47" s="80" t="str">
        <f t="shared" si="34"/>
        <v>N/A</v>
      </c>
      <c r="CR47" s="80"/>
      <c r="CS47" s="80" t="str">
        <f t="shared" si="34"/>
        <v>N/A</v>
      </c>
      <c r="CT47" s="80"/>
      <c r="CU47" s="80" t="str">
        <f t="shared" si="34"/>
        <v>N/A</v>
      </c>
      <c r="CV47" s="80"/>
      <c r="CW47" s="80" t="str">
        <f t="shared" si="34"/>
        <v>N/A</v>
      </c>
      <c r="CX47" s="80"/>
      <c r="CY47" s="80" t="str">
        <f t="shared" si="34"/>
        <v>N/A</v>
      </c>
      <c r="CZ47" s="80"/>
      <c r="DA47" s="80" t="str">
        <f t="shared" si="34"/>
        <v>N/A</v>
      </c>
    </row>
    <row r="48" spans="2:105" ht="11.25" customHeight="1">
      <c r="B48" s="547"/>
      <c r="C48" s="557"/>
      <c r="D48" s="558"/>
      <c r="E48" s="551"/>
      <c r="F48" s="800"/>
      <c r="G48" s="801"/>
      <c r="H48" s="802"/>
      <c r="I48" s="551"/>
      <c r="J48" s="551"/>
      <c r="K48" s="551"/>
      <c r="L48" s="551"/>
      <c r="M48" s="551"/>
      <c r="N48" s="551"/>
      <c r="O48" s="551"/>
      <c r="P48" s="551"/>
      <c r="Q48" s="551"/>
      <c r="R48" s="551"/>
      <c r="S48" s="551"/>
      <c r="T48" s="551"/>
      <c r="U48" s="817" t="s">
        <v>534</v>
      </c>
      <c r="V48" s="818"/>
      <c r="W48" s="551"/>
      <c r="X48" s="551"/>
      <c r="Y48" s="551"/>
      <c r="Z48" s="571"/>
      <c r="AK48" s="810"/>
      <c r="AL48" s="810"/>
      <c r="AM48" s="810"/>
      <c r="AN48" s="551"/>
      <c r="AO48" s="551"/>
      <c r="AP48" s="551"/>
      <c r="AQ48" s="753"/>
      <c r="AR48" s="810"/>
      <c r="AS48" s="810"/>
      <c r="AT48" s="810"/>
      <c r="AU48" s="810"/>
      <c r="AV48" s="810"/>
      <c r="AW48" s="810"/>
      <c r="AX48" s="810"/>
      <c r="AY48" s="810"/>
      <c r="AZ48" s="810"/>
      <c r="BA48" s="810"/>
      <c r="BD48" s="376">
        <v>3</v>
      </c>
      <c r="BE48" s="563" t="s">
        <v>599</v>
      </c>
      <c r="BF48" s="97" t="s">
        <v>81</v>
      </c>
      <c r="BG48" s="80">
        <f>F10</f>
        <v>0</v>
      </c>
      <c r="BH48" s="80"/>
      <c r="BI48" s="80">
        <f aca="true" t="shared" si="35" ref="BI48:DA48">H10</f>
        <v>2431</v>
      </c>
      <c r="BJ48" s="80"/>
      <c r="BK48" s="80">
        <f t="shared" si="35"/>
        <v>0</v>
      </c>
      <c r="BL48" s="80"/>
      <c r="BM48" s="80">
        <f t="shared" si="35"/>
        <v>0</v>
      </c>
      <c r="BN48" s="80"/>
      <c r="BO48" s="80">
        <f t="shared" si="35"/>
        <v>0</v>
      </c>
      <c r="BP48" s="80"/>
      <c r="BQ48" s="80">
        <f t="shared" si="35"/>
        <v>0</v>
      </c>
      <c r="BR48" s="80"/>
      <c r="BS48" s="80">
        <f t="shared" si="35"/>
        <v>0</v>
      </c>
      <c r="BT48" s="80"/>
      <c r="BU48" s="80">
        <f t="shared" si="35"/>
        <v>0</v>
      </c>
      <c r="BV48" s="80"/>
      <c r="BW48" s="80">
        <f t="shared" si="35"/>
        <v>0</v>
      </c>
      <c r="BX48" s="80"/>
      <c r="BY48" s="80">
        <f t="shared" si="35"/>
        <v>0</v>
      </c>
      <c r="BZ48" s="80"/>
      <c r="CA48" s="80">
        <f t="shared" si="35"/>
        <v>0</v>
      </c>
      <c r="CB48" s="80"/>
      <c r="CC48" s="80">
        <f t="shared" si="35"/>
        <v>0</v>
      </c>
      <c r="CD48" s="80"/>
      <c r="CE48" s="80">
        <f t="shared" si="35"/>
        <v>0</v>
      </c>
      <c r="CF48" s="80"/>
      <c r="CG48" s="80">
        <f t="shared" si="35"/>
        <v>0</v>
      </c>
      <c r="CH48" s="80"/>
      <c r="CI48" s="80">
        <f t="shared" si="35"/>
        <v>0</v>
      </c>
      <c r="CJ48" s="80"/>
      <c r="CK48" s="80">
        <f t="shared" si="35"/>
        <v>0</v>
      </c>
      <c r="CL48" s="80"/>
      <c r="CM48" s="80">
        <f t="shared" si="35"/>
        <v>0</v>
      </c>
      <c r="CN48" s="80"/>
      <c r="CO48" s="80">
        <f t="shared" si="35"/>
        <v>0</v>
      </c>
      <c r="CP48" s="80"/>
      <c r="CQ48" s="80">
        <f t="shared" si="35"/>
        <v>0</v>
      </c>
      <c r="CR48" s="80"/>
      <c r="CS48" s="80">
        <f t="shared" si="35"/>
        <v>0</v>
      </c>
      <c r="CT48" s="80"/>
      <c r="CU48" s="80">
        <f t="shared" si="35"/>
        <v>0</v>
      </c>
      <c r="CV48" s="80"/>
      <c r="CW48" s="80">
        <f t="shared" si="35"/>
        <v>0</v>
      </c>
      <c r="CX48" s="80"/>
      <c r="CY48" s="80">
        <f t="shared" si="35"/>
        <v>0</v>
      </c>
      <c r="CZ48" s="80"/>
      <c r="DA48" s="80">
        <f t="shared" si="35"/>
        <v>0</v>
      </c>
    </row>
    <row r="49" spans="3:105" ht="21.75" customHeight="1">
      <c r="C49" s="557"/>
      <c r="D49" s="549" t="str">
        <f>D13&amp;" (W2,5)"</f>
        <v>Households  (W2,5)</v>
      </c>
      <c r="E49" s="551"/>
      <c r="F49" s="551"/>
      <c r="G49" s="551"/>
      <c r="H49" s="551"/>
      <c r="I49" s="551"/>
      <c r="J49" s="551"/>
      <c r="K49" s="551"/>
      <c r="L49" s="794" t="str">
        <f>LEFT(D26,LEN(D26)-16)&amp;" (W2,18)"</f>
        <v>Total freshwater available for use  (W2,18)</v>
      </c>
      <c r="M49" s="795"/>
      <c r="N49" s="796"/>
      <c r="O49" s="551"/>
      <c r="P49" s="551"/>
      <c r="Q49" s="794" t="str">
        <f>LEFT(D28,LEN(D28)-8)&amp;" (W2,20)"</f>
        <v>Total freshwater use  (W2,20)</v>
      </c>
      <c r="R49" s="795"/>
      <c r="S49" s="796"/>
      <c r="U49" s="818"/>
      <c r="V49" s="818"/>
      <c r="W49" s="551"/>
      <c r="X49" s="551"/>
      <c r="Y49" s="551"/>
      <c r="Z49" s="571"/>
      <c r="AA49" s="807" t="str">
        <f>D30&amp;" (W2,21)"</f>
        <v>    Households  (W2,21)</v>
      </c>
      <c r="AB49" s="814"/>
      <c r="AC49" s="814"/>
      <c r="AD49" s="814"/>
      <c r="AE49" s="814"/>
      <c r="AF49" s="814"/>
      <c r="AG49" s="814"/>
      <c r="AH49" s="815"/>
      <c r="AI49" s="815"/>
      <c r="AJ49" s="816"/>
      <c r="AK49" s="810"/>
      <c r="AL49" s="810"/>
      <c r="AM49" s="810"/>
      <c r="AN49" s="811"/>
      <c r="AO49" s="812"/>
      <c r="AP49" s="551"/>
      <c r="AQ49" s="810"/>
      <c r="AR49" s="810"/>
      <c r="AS49" s="810"/>
      <c r="AT49" s="810"/>
      <c r="AU49" s="810"/>
      <c r="AV49" s="810"/>
      <c r="AW49" s="810"/>
      <c r="AX49" s="810"/>
      <c r="AY49" s="810"/>
      <c r="AZ49" s="810"/>
      <c r="BA49" s="810"/>
      <c r="BD49" s="299">
        <v>32</v>
      </c>
      <c r="BE49" s="395" t="s">
        <v>600</v>
      </c>
      <c r="BF49" s="97" t="s">
        <v>81</v>
      </c>
      <c r="BG49" s="83">
        <f>SUM(F12:F14)+SUM(F16:F18)+SUM(F20:F21)</f>
        <v>0</v>
      </c>
      <c r="BH49" s="83"/>
      <c r="BI49" s="83">
        <f aca="true" t="shared" si="36" ref="BI49:DA49">SUM(H12:H14)+SUM(H16:H18)+SUM(H20:H21)</f>
        <v>0</v>
      </c>
      <c r="BJ49" s="83"/>
      <c r="BK49" s="83">
        <f t="shared" si="36"/>
        <v>0</v>
      </c>
      <c r="BL49" s="83"/>
      <c r="BM49" s="83">
        <f t="shared" si="36"/>
        <v>0</v>
      </c>
      <c r="BN49" s="83"/>
      <c r="BO49" s="83">
        <f t="shared" si="36"/>
        <v>0</v>
      </c>
      <c r="BP49" s="83"/>
      <c r="BQ49" s="83">
        <f t="shared" si="36"/>
        <v>0</v>
      </c>
      <c r="BR49" s="83"/>
      <c r="BS49" s="83">
        <f t="shared" si="36"/>
        <v>0</v>
      </c>
      <c r="BT49" s="83"/>
      <c r="BU49" s="83">
        <f t="shared" si="36"/>
        <v>0</v>
      </c>
      <c r="BV49" s="83"/>
      <c r="BW49" s="83">
        <f t="shared" si="36"/>
        <v>0</v>
      </c>
      <c r="BX49" s="83"/>
      <c r="BY49" s="83">
        <f t="shared" si="36"/>
        <v>0</v>
      </c>
      <c r="BZ49" s="83"/>
      <c r="CA49" s="83">
        <f t="shared" si="36"/>
        <v>0</v>
      </c>
      <c r="CB49" s="83"/>
      <c r="CC49" s="83">
        <f t="shared" si="36"/>
        <v>0</v>
      </c>
      <c r="CD49" s="83"/>
      <c r="CE49" s="83">
        <f t="shared" si="36"/>
        <v>319.159</v>
      </c>
      <c r="CF49" s="83"/>
      <c r="CG49" s="83">
        <f t="shared" si="36"/>
        <v>343.425</v>
      </c>
      <c r="CH49" s="83"/>
      <c r="CI49" s="83">
        <f t="shared" si="36"/>
        <v>358.055</v>
      </c>
      <c r="CJ49" s="83"/>
      <c r="CK49" s="83">
        <f t="shared" si="36"/>
        <v>367.558</v>
      </c>
      <c r="CL49" s="83"/>
      <c r="CM49" s="83">
        <f t="shared" si="36"/>
        <v>373.868</v>
      </c>
      <c r="CN49" s="83"/>
      <c r="CO49" s="83">
        <f t="shared" si="36"/>
        <v>370.726</v>
      </c>
      <c r="CP49" s="83"/>
      <c r="CQ49" s="83">
        <f t="shared" si="36"/>
        <v>361.101</v>
      </c>
      <c r="CR49" s="83"/>
      <c r="CS49" s="83">
        <f t="shared" si="36"/>
        <v>356.851</v>
      </c>
      <c r="CT49" s="83"/>
      <c r="CU49" s="83">
        <f t="shared" si="36"/>
        <v>355.324</v>
      </c>
      <c r="CV49" s="83"/>
      <c r="CW49" s="83">
        <f t="shared" si="36"/>
        <v>342.521</v>
      </c>
      <c r="CX49" s="83"/>
      <c r="CY49" s="83">
        <f t="shared" si="36"/>
        <v>0</v>
      </c>
      <c r="CZ49" s="83"/>
      <c r="DA49" s="83">
        <f t="shared" si="36"/>
        <v>0</v>
      </c>
    </row>
    <row r="50" spans="3:105" ht="15" customHeight="1">
      <c r="C50" s="557"/>
      <c r="D50" s="559"/>
      <c r="E50" s="551"/>
      <c r="F50" s="551"/>
      <c r="G50" s="551"/>
      <c r="H50" s="551"/>
      <c r="I50" s="551"/>
      <c r="J50" s="551"/>
      <c r="K50" s="551"/>
      <c r="L50" s="797"/>
      <c r="M50" s="798"/>
      <c r="N50" s="799"/>
      <c r="O50" s="551"/>
      <c r="P50" s="551"/>
      <c r="Q50" s="797"/>
      <c r="R50" s="798"/>
      <c r="S50" s="799"/>
      <c r="T50" s="551"/>
      <c r="U50" s="551"/>
      <c r="V50" s="551"/>
      <c r="W50" s="551"/>
      <c r="X50" s="551"/>
      <c r="Y50" s="551"/>
      <c r="Z50" s="554"/>
      <c r="AK50" s="810"/>
      <c r="AL50" s="810"/>
      <c r="AM50" s="810"/>
      <c r="AN50" s="813"/>
      <c r="AO50" s="812"/>
      <c r="AP50" s="551"/>
      <c r="AQ50" s="554"/>
      <c r="AR50" s="554"/>
      <c r="AS50" s="554"/>
      <c r="AT50" s="554"/>
      <c r="AU50" s="554"/>
      <c r="AV50" s="554"/>
      <c r="AW50" s="554"/>
      <c r="AX50" s="554"/>
      <c r="AY50" s="554"/>
      <c r="AZ50" s="554"/>
      <c r="BA50" s="554"/>
      <c r="BD50" s="287" t="s">
        <v>182</v>
      </c>
      <c r="BE50" s="395" t="s">
        <v>601</v>
      </c>
      <c r="BF50" s="97"/>
      <c r="BG50" s="80" t="str">
        <f>IF(OR(ISBLANK(F10),ISBLANK(F12),ISBLANK(F13),ISBLANK(F14),ISBLANK(F16),ISBLANK(F17),ISBLANK(F18),ISBLANK(F20),ISBLANK(F21)),"N/A",IF(BG48=BG49,"ok","&lt;&gt;"))</f>
        <v>N/A</v>
      </c>
      <c r="BH50" s="80"/>
      <c r="BI50" s="80" t="str">
        <f aca="true" t="shared" si="37" ref="BI50:DA50">IF(OR(ISBLANK(H10),ISBLANK(H12),ISBLANK(H13),ISBLANK(H14),ISBLANK(H16),ISBLANK(H17),ISBLANK(H18),ISBLANK(H20),ISBLANK(H21)),"N/A",IF(BI48=BI49,"ok","&lt;&gt;"))</f>
        <v>N/A</v>
      </c>
      <c r="BJ50" s="80"/>
      <c r="BK50" s="80" t="str">
        <f t="shared" si="37"/>
        <v>N/A</v>
      </c>
      <c r="BL50" s="80"/>
      <c r="BM50" s="80" t="str">
        <f t="shared" si="37"/>
        <v>N/A</v>
      </c>
      <c r="BN50" s="80"/>
      <c r="BO50" s="80" t="str">
        <f t="shared" si="37"/>
        <v>N/A</v>
      </c>
      <c r="BP50" s="80"/>
      <c r="BQ50" s="80" t="str">
        <f t="shared" si="37"/>
        <v>N/A</v>
      </c>
      <c r="BR50" s="80"/>
      <c r="BS50" s="80" t="str">
        <f t="shared" si="37"/>
        <v>N/A</v>
      </c>
      <c r="BT50" s="80"/>
      <c r="BU50" s="80" t="str">
        <f t="shared" si="37"/>
        <v>N/A</v>
      </c>
      <c r="BV50" s="80"/>
      <c r="BW50" s="80" t="str">
        <f t="shared" si="37"/>
        <v>N/A</v>
      </c>
      <c r="BX50" s="80"/>
      <c r="BY50" s="80" t="str">
        <f t="shared" si="37"/>
        <v>N/A</v>
      </c>
      <c r="BZ50" s="80"/>
      <c r="CA50" s="80" t="str">
        <f t="shared" si="37"/>
        <v>N/A</v>
      </c>
      <c r="CB50" s="80"/>
      <c r="CC50" s="80" t="str">
        <f t="shared" si="37"/>
        <v>N/A</v>
      </c>
      <c r="CD50" s="80"/>
      <c r="CE50" s="80" t="str">
        <f t="shared" si="37"/>
        <v>N/A</v>
      </c>
      <c r="CF50" s="80"/>
      <c r="CG50" s="80" t="str">
        <f t="shared" si="37"/>
        <v>N/A</v>
      </c>
      <c r="CH50" s="80"/>
      <c r="CI50" s="80" t="str">
        <f t="shared" si="37"/>
        <v>N/A</v>
      </c>
      <c r="CJ50" s="80"/>
      <c r="CK50" s="80" t="str">
        <f t="shared" si="37"/>
        <v>N/A</v>
      </c>
      <c r="CL50" s="80"/>
      <c r="CM50" s="80" t="str">
        <f t="shared" si="37"/>
        <v>N/A</v>
      </c>
      <c r="CN50" s="80"/>
      <c r="CO50" s="80" t="str">
        <f t="shared" si="37"/>
        <v>N/A</v>
      </c>
      <c r="CP50" s="80"/>
      <c r="CQ50" s="80" t="str">
        <f t="shared" si="37"/>
        <v>N/A</v>
      </c>
      <c r="CR50" s="80"/>
      <c r="CS50" s="80" t="str">
        <f t="shared" si="37"/>
        <v>N/A</v>
      </c>
      <c r="CT50" s="80"/>
      <c r="CU50" s="80" t="str">
        <f t="shared" si="37"/>
        <v>N/A</v>
      </c>
      <c r="CV50" s="80"/>
      <c r="CW50" s="80" t="str">
        <f t="shared" si="37"/>
        <v>N/A</v>
      </c>
      <c r="CX50" s="80"/>
      <c r="CY50" s="80" t="str">
        <f t="shared" si="37"/>
        <v>N/A</v>
      </c>
      <c r="CZ50" s="80"/>
      <c r="DA50" s="80" t="str">
        <f t="shared" si="37"/>
        <v>N/A</v>
      </c>
    </row>
    <row r="51" spans="3:105" ht="21.75" customHeight="1">
      <c r="C51" s="557"/>
      <c r="D51" s="549" t="str">
        <f>D14&amp;" (W2,6)"</f>
        <v>Agriculture, forestry and fishing (ISIC 01-03) (W2,6)</v>
      </c>
      <c r="E51" s="551"/>
      <c r="F51" s="823" t="str">
        <f>D23&amp;" (W2,15)"</f>
        <v>Reused water (W2,15)</v>
      </c>
      <c r="G51" s="804"/>
      <c r="H51" s="824"/>
      <c r="I51" s="551"/>
      <c r="J51" s="551"/>
      <c r="K51" s="551"/>
      <c r="L51" s="797"/>
      <c r="M51" s="798"/>
      <c r="N51" s="799"/>
      <c r="O51" s="551"/>
      <c r="P51" s="551"/>
      <c r="Q51" s="797"/>
      <c r="R51" s="798"/>
      <c r="S51" s="799"/>
      <c r="T51" s="551"/>
      <c r="U51" s="551"/>
      <c r="V51" s="551"/>
      <c r="W51" s="551"/>
      <c r="X51" s="551"/>
      <c r="Y51" s="551"/>
      <c r="Z51" s="289"/>
      <c r="AA51" s="803" t="str">
        <f>D31&amp;" (W2,22)"</f>
        <v>Agriculture, forestry and fishing (ISIC 01-03) (W2,22)</v>
      </c>
      <c r="AB51" s="804"/>
      <c r="AC51" s="804"/>
      <c r="AD51" s="804"/>
      <c r="AE51" s="804"/>
      <c r="AF51" s="804"/>
      <c r="AG51" s="804"/>
      <c r="AH51" s="805"/>
      <c r="AI51" s="805"/>
      <c r="AJ51" s="806"/>
      <c r="AK51" s="810"/>
      <c r="AL51" s="810"/>
      <c r="AM51" s="810"/>
      <c r="AN51" s="560"/>
      <c r="AO51" s="561"/>
      <c r="AP51" s="551"/>
      <c r="AQ51" s="753"/>
      <c r="AR51" s="753"/>
      <c r="AS51" s="753"/>
      <c r="AT51" s="753"/>
      <c r="AU51" s="753"/>
      <c r="AV51" s="753"/>
      <c r="AW51" s="753"/>
      <c r="AX51" s="753"/>
      <c r="AY51" s="753"/>
      <c r="AZ51" s="753"/>
      <c r="BA51" s="810"/>
      <c r="BD51" s="376">
        <v>20</v>
      </c>
      <c r="BE51" s="563" t="s">
        <v>559</v>
      </c>
      <c r="BF51" s="97" t="s">
        <v>81</v>
      </c>
      <c r="BG51" s="83">
        <f>F28</f>
        <v>0</v>
      </c>
      <c r="BH51" s="83"/>
      <c r="BI51" s="83">
        <f aca="true" t="shared" si="38" ref="BI51:DA51">H28</f>
        <v>0</v>
      </c>
      <c r="BJ51" s="83"/>
      <c r="BK51" s="83">
        <f t="shared" si="38"/>
        <v>0</v>
      </c>
      <c r="BL51" s="83"/>
      <c r="BM51" s="83">
        <f t="shared" si="38"/>
        <v>0</v>
      </c>
      <c r="BN51" s="83"/>
      <c r="BO51" s="83">
        <f t="shared" si="38"/>
        <v>0</v>
      </c>
      <c r="BP51" s="83"/>
      <c r="BQ51" s="83">
        <f t="shared" si="38"/>
        <v>0</v>
      </c>
      <c r="BR51" s="83"/>
      <c r="BS51" s="83">
        <f t="shared" si="38"/>
        <v>0</v>
      </c>
      <c r="BT51" s="83"/>
      <c r="BU51" s="83">
        <f t="shared" si="38"/>
        <v>0</v>
      </c>
      <c r="BV51" s="83"/>
      <c r="BW51" s="83">
        <f t="shared" si="38"/>
        <v>0</v>
      </c>
      <c r="BX51" s="83"/>
      <c r="BY51" s="83">
        <f t="shared" si="38"/>
        <v>0</v>
      </c>
      <c r="BZ51" s="83"/>
      <c r="CA51" s="83">
        <f t="shared" si="38"/>
        <v>0</v>
      </c>
      <c r="CB51" s="83"/>
      <c r="CC51" s="83">
        <f t="shared" si="38"/>
        <v>0</v>
      </c>
      <c r="CD51" s="83"/>
      <c r="CE51" s="83">
        <f t="shared" si="38"/>
        <v>0</v>
      </c>
      <c r="CF51" s="83"/>
      <c r="CG51" s="83">
        <f t="shared" si="38"/>
        <v>0</v>
      </c>
      <c r="CH51" s="83"/>
      <c r="CI51" s="83">
        <f t="shared" si="38"/>
        <v>0</v>
      </c>
      <c r="CJ51" s="83"/>
      <c r="CK51" s="83">
        <f t="shared" si="38"/>
        <v>0</v>
      </c>
      <c r="CL51" s="83"/>
      <c r="CM51" s="83">
        <f t="shared" si="38"/>
        <v>0</v>
      </c>
      <c r="CN51" s="83"/>
      <c r="CO51" s="83">
        <f t="shared" si="38"/>
        <v>0</v>
      </c>
      <c r="CP51" s="83"/>
      <c r="CQ51" s="83">
        <f t="shared" si="38"/>
        <v>0</v>
      </c>
      <c r="CR51" s="83"/>
      <c r="CS51" s="83">
        <f t="shared" si="38"/>
        <v>0</v>
      </c>
      <c r="CT51" s="83"/>
      <c r="CU51" s="83">
        <f t="shared" si="38"/>
        <v>0</v>
      </c>
      <c r="CV51" s="83"/>
      <c r="CW51" s="83">
        <f t="shared" si="38"/>
        <v>0</v>
      </c>
      <c r="CX51" s="83"/>
      <c r="CY51" s="83">
        <f t="shared" si="38"/>
        <v>0</v>
      </c>
      <c r="CZ51" s="83"/>
      <c r="DA51" s="83">
        <f t="shared" si="38"/>
        <v>0</v>
      </c>
    </row>
    <row r="52" spans="3:105" ht="10.5" customHeight="1">
      <c r="C52" s="557"/>
      <c r="D52" s="562"/>
      <c r="E52" s="551"/>
      <c r="F52" s="551"/>
      <c r="G52" s="551"/>
      <c r="H52" s="551"/>
      <c r="I52" s="551"/>
      <c r="J52" s="551"/>
      <c r="K52" s="551"/>
      <c r="L52" s="797"/>
      <c r="M52" s="798"/>
      <c r="N52" s="799"/>
      <c r="O52" s="551"/>
      <c r="P52" s="551"/>
      <c r="Q52" s="797"/>
      <c r="R52" s="798"/>
      <c r="S52" s="799"/>
      <c r="T52" s="551"/>
      <c r="U52" s="551"/>
      <c r="V52" s="551"/>
      <c r="W52" s="551"/>
      <c r="X52" s="551"/>
      <c r="Y52" s="551"/>
      <c r="Z52" s="554"/>
      <c r="AA52" s="551"/>
      <c r="AB52" s="551"/>
      <c r="AC52" s="551"/>
      <c r="AD52" s="551"/>
      <c r="AE52" s="551"/>
      <c r="AF52" s="551"/>
      <c r="AG52" s="551"/>
      <c r="AH52" s="551"/>
      <c r="AI52" s="551"/>
      <c r="AJ52" s="551"/>
      <c r="AK52" s="810"/>
      <c r="AL52" s="810"/>
      <c r="AM52" s="810"/>
      <c r="AN52" s="551"/>
      <c r="AO52" s="551"/>
      <c r="AP52" s="551"/>
      <c r="AQ52" s="554"/>
      <c r="AR52" s="554"/>
      <c r="AS52" s="554"/>
      <c r="AT52" s="554"/>
      <c r="AU52" s="554"/>
      <c r="AV52" s="554"/>
      <c r="AW52" s="554"/>
      <c r="AX52" s="554"/>
      <c r="AY52" s="554"/>
      <c r="AZ52" s="554"/>
      <c r="BA52" s="554"/>
      <c r="BC52" s="318"/>
      <c r="BD52" s="299">
        <v>33</v>
      </c>
      <c r="BE52" s="395" t="s">
        <v>602</v>
      </c>
      <c r="BF52" s="97" t="s">
        <v>81</v>
      </c>
      <c r="BG52" s="80">
        <f>F26-F27</f>
        <v>0</v>
      </c>
      <c r="BH52" s="80"/>
      <c r="BI52" s="80">
        <f aca="true" t="shared" si="39" ref="BI52:DA52">H26-H27</f>
        <v>0</v>
      </c>
      <c r="BJ52" s="80"/>
      <c r="BK52" s="80">
        <f t="shared" si="39"/>
        <v>0</v>
      </c>
      <c r="BL52" s="80"/>
      <c r="BM52" s="80">
        <f t="shared" si="39"/>
        <v>0</v>
      </c>
      <c r="BN52" s="80"/>
      <c r="BO52" s="80">
        <f t="shared" si="39"/>
        <v>0</v>
      </c>
      <c r="BP52" s="80"/>
      <c r="BQ52" s="80">
        <f t="shared" si="39"/>
        <v>0</v>
      </c>
      <c r="BR52" s="80"/>
      <c r="BS52" s="80">
        <f t="shared" si="39"/>
        <v>0</v>
      </c>
      <c r="BT52" s="80"/>
      <c r="BU52" s="80">
        <f t="shared" si="39"/>
        <v>0</v>
      </c>
      <c r="BV52" s="80"/>
      <c r="BW52" s="80">
        <f t="shared" si="39"/>
        <v>0</v>
      </c>
      <c r="BX52" s="80"/>
      <c r="BY52" s="80">
        <f t="shared" si="39"/>
        <v>0</v>
      </c>
      <c r="BZ52" s="80"/>
      <c r="CA52" s="80">
        <f t="shared" si="39"/>
        <v>0</v>
      </c>
      <c r="CB52" s="80"/>
      <c r="CC52" s="80">
        <f t="shared" si="39"/>
        <v>0</v>
      </c>
      <c r="CD52" s="80"/>
      <c r="CE52" s="80">
        <f t="shared" si="39"/>
        <v>0</v>
      </c>
      <c r="CF52" s="80"/>
      <c r="CG52" s="80">
        <f t="shared" si="39"/>
        <v>0</v>
      </c>
      <c r="CH52" s="80"/>
      <c r="CI52" s="80">
        <f t="shared" si="39"/>
        <v>0</v>
      </c>
      <c r="CJ52" s="80"/>
      <c r="CK52" s="80">
        <f t="shared" si="39"/>
        <v>0</v>
      </c>
      <c r="CL52" s="80"/>
      <c r="CM52" s="80">
        <f t="shared" si="39"/>
        <v>0</v>
      </c>
      <c r="CN52" s="80"/>
      <c r="CO52" s="80">
        <f t="shared" si="39"/>
        <v>0</v>
      </c>
      <c r="CP52" s="80"/>
      <c r="CQ52" s="80">
        <f t="shared" si="39"/>
        <v>0</v>
      </c>
      <c r="CR52" s="80"/>
      <c r="CS52" s="80">
        <f t="shared" si="39"/>
        <v>0</v>
      </c>
      <c r="CT52" s="80"/>
      <c r="CU52" s="80">
        <f t="shared" si="39"/>
        <v>0</v>
      </c>
      <c r="CV52" s="80"/>
      <c r="CW52" s="80">
        <f t="shared" si="39"/>
        <v>0</v>
      </c>
      <c r="CX52" s="80"/>
      <c r="CY52" s="80">
        <f t="shared" si="39"/>
        <v>0</v>
      </c>
      <c r="CZ52" s="80"/>
      <c r="DA52" s="80">
        <f t="shared" si="39"/>
        <v>0</v>
      </c>
    </row>
    <row r="53" spans="3:105" ht="21.75" customHeight="1">
      <c r="C53" s="557"/>
      <c r="D53" s="549" t="str">
        <f>D16&amp;" (W2,8)"</f>
        <v>Mining and quarrying (ISIC 05-09) (W2,8)</v>
      </c>
      <c r="E53" s="551"/>
      <c r="F53" s="551"/>
      <c r="G53" s="551"/>
      <c r="H53" s="551"/>
      <c r="I53" s="551"/>
      <c r="J53" s="551"/>
      <c r="K53" s="551"/>
      <c r="L53" s="797"/>
      <c r="M53" s="798"/>
      <c r="N53" s="799"/>
      <c r="O53" s="551"/>
      <c r="P53" s="551"/>
      <c r="Q53" s="797"/>
      <c r="R53" s="798"/>
      <c r="S53" s="799"/>
      <c r="T53" s="551"/>
      <c r="U53" s="551"/>
      <c r="V53" s="551"/>
      <c r="W53" s="551"/>
      <c r="X53" s="551"/>
      <c r="Y53" s="551"/>
      <c r="Z53" s="554"/>
      <c r="AA53" s="803" t="str">
        <f>D33&amp;" (W2,24)"</f>
        <v>Mining and quarrying (ISIC 05-09) (W2,24)</v>
      </c>
      <c r="AB53" s="804"/>
      <c r="AC53" s="804"/>
      <c r="AD53" s="804"/>
      <c r="AE53" s="804"/>
      <c r="AF53" s="804"/>
      <c r="AG53" s="804"/>
      <c r="AH53" s="805"/>
      <c r="AI53" s="805"/>
      <c r="AJ53" s="806"/>
      <c r="AK53" s="571"/>
      <c r="AL53" s="571"/>
      <c r="AM53" s="571"/>
      <c r="AN53" s="551"/>
      <c r="AO53" s="551"/>
      <c r="AP53" s="551"/>
      <c r="AQ53" s="554"/>
      <c r="AR53" s="554"/>
      <c r="AS53" s="554"/>
      <c r="AT53" s="554"/>
      <c r="AU53" s="554"/>
      <c r="AV53" s="554"/>
      <c r="AW53" s="554"/>
      <c r="AX53" s="554"/>
      <c r="AY53" s="554"/>
      <c r="AZ53" s="554"/>
      <c r="BA53" s="554"/>
      <c r="BC53" s="318"/>
      <c r="BD53" s="313" t="s">
        <v>182</v>
      </c>
      <c r="BE53" s="410" t="s">
        <v>603</v>
      </c>
      <c r="BF53" s="411"/>
      <c r="BG53" s="81" t="str">
        <f>IF(OR(ISBLANK(F26),ISBLANK(F27),ISBLANK(F28)),"N/A",IF(BG51=BG52,"ok","&lt;&gt;"))</f>
        <v>N/A</v>
      </c>
      <c r="BH53" s="81"/>
      <c r="BI53" s="81" t="str">
        <f aca="true" t="shared" si="40" ref="BI53:DA53">IF(OR(ISBLANK(H26),ISBLANK(H27),ISBLANK(H28)),"N/A",IF(BI51=BI52,"ok","&lt;&gt;"))</f>
        <v>N/A</v>
      </c>
      <c r="BJ53" s="81"/>
      <c r="BK53" s="81" t="str">
        <f t="shared" si="40"/>
        <v>N/A</v>
      </c>
      <c r="BL53" s="81"/>
      <c r="BM53" s="81" t="str">
        <f t="shared" si="40"/>
        <v>N/A</v>
      </c>
      <c r="BN53" s="81"/>
      <c r="BO53" s="81" t="str">
        <f t="shared" si="40"/>
        <v>N/A</v>
      </c>
      <c r="BP53" s="81"/>
      <c r="BQ53" s="81" t="str">
        <f t="shared" si="40"/>
        <v>N/A</v>
      </c>
      <c r="BR53" s="81"/>
      <c r="BS53" s="81" t="str">
        <f t="shared" si="40"/>
        <v>N/A</v>
      </c>
      <c r="BT53" s="81"/>
      <c r="BU53" s="81" t="str">
        <f t="shared" si="40"/>
        <v>N/A</v>
      </c>
      <c r="BV53" s="81"/>
      <c r="BW53" s="81" t="str">
        <f t="shared" si="40"/>
        <v>N/A</v>
      </c>
      <c r="BX53" s="81"/>
      <c r="BY53" s="81" t="str">
        <f t="shared" si="40"/>
        <v>N/A</v>
      </c>
      <c r="BZ53" s="81"/>
      <c r="CA53" s="81" t="str">
        <f t="shared" si="40"/>
        <v>N/A</v>
      </c>
      <c r="CB53" s="81"/>
      <c r="CC53" s="81" t="str">
        <f t="shared" si="40"/>
        <v>N/A</v>
      </c>
      <c r="CD53" s="81"/>
      <c r="CE53" s="81" t="str">
        <f t="shared" si="40"/>
        <v>N/A</v>
      </c>
      <c r="CF53" s="81"/>
      <c r="CG53" s="81" t="str">
        <f t="shared" si="40"/>
        <v>N/A</v>
      </c>
      <c r="CH53" s="81"/>
      <c r="CI53" s="81" t="str">
        <f t="shared" si="40"/>
        <v>N/A</v>
      </c>
      <c r="CJ53" s="81"/>
      <c r="CK53" s="81" t="str">
        <f t="shared" si="40"/>
        <v>N/A</v>
      </c>
      <c r="CL53" s="81"/>
      <c r="CM53" s="81" t="str">
        <f t="shared" si="40"/>
        <v>N/A</v>
      </c>
      <c r="CN53" s="81"/>
      <c r="CO53" s="81" t="str">
        <f t="shared" si="40"/>
        <v>N/A</v>
      </c>
      <c r="CP53" s="81"/>
      <c r="CQ53" s="81" t="str">
        <f t="shared" si="40"/>
        <v>N/A</v>
      </c>
      <c r="CR53" s="81"/>
      <c r="CS53" s="81" t="str">
        <f t="shared" si="40"/>
        <v>N/A</v>
      </c>
      <c r="CT53" s="81"/>
      <c r="CU53" s="81" t="str">
        <f t="shared" si="40"/>
        <v>N/A</v>
      </c>
      <c r="CV53" s="81"/>
      <c r="CW53" s="81" t="str">
        <f t="shared" si="40"/>
        <v>N/A</v>
      </c>
      <c r="CX53" s="81"/>
      <c r="CY53" s="81" t="str">
        <f t="shared" si="40"/>
        <v>N/A</v>
      </c>
      <c r="CZ53" s="81"/>
      <c r="DA53" s="81" t="str">
        <f t="shared" si="40"/>
        <v>N/A</v>
      </c>
    </row>
    <row r="54" spans="3:105" ht="12.75" customHeight="1">
      <c r="C54" s="557"/>
      <c r="D54" s="562"/>
      <c r="E54" s="551"/>
      <c r="F54" s="551"/>
      <c r="G54" s="551"/>
      <c r="H54" s="551"/>
      <c r="I54" s="551"/>
      <c r="J54" s="551"/>
      <c r="K54" s="551"/>
      <c r="L54" s="797"/>
      <c r="M54" s="798"/>
      <c r="N54" s="799"/>
      <c r="O54" s="551"/>
      <c r="P54" s="551"/>
      <c r="Q54" s="797"/>
      <c r="R54" s="798"/>
      <c r="S54" s="799"/>
      <c r="T54" s="551"/>
      <c r="U54" s="551"/>
      <c r="V54" s="551"/>
      <c r="W54" s="551"/>
      <c r="X54" s="551"/>
      <c r="Y54" s="551"/>
      <c r="Z54" s="554"/>
      <c r="AK54" s="571"/>
      <c r="AL54" s="571"/>
      <c r="AM54" s="571"/>
      <c r="AN54" s="551"/>
      <c r="AO54" s="551"/>
      <c r="AP54" s="551"/>
      <c r="AQ54" s="554"/>
      <c r="AR54" s="554"/>
      <c r="AS54" s="554"/>
      <c r="AT54" s="554"/>
      <c r="AU54" s="554"/>
      <c r="AV54" s="554"/>
      <c r="AW54" s="554"/>
      <c r="AX54" s="554"/>
      <c r="AY54" s="554"/>
      <c r="AZ54" s="554"/>
      <c r="BA54" s="554"/>
      <c r="BC54" s="318"/>
      <c r="BD54" s="315" t="s">
        <v>57</v>
      </c>
      <c r="BE54" s="316" t="s">
        <v>58</v>
      </c>
      <c r="BF54" s="96"/>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14"/>
      <c r="CN54" s="114"/>
      <c r="CO54" s="114"/>
      <c r="CP54" s="114"/>
      <c r="CQ54" s="114"/>
      <c r="CR54" s="114"/>
      <c r="CS54" s="114"/>
      <c r="CT54" s="114"/>
      <c r="CU54" s="114"/>
      <c r="CV54" s="114"/>
      <c r="CW54" s="114"/>
      <c r="CX54" s="114"/>
      <c r="CY54" s="114"/>
      <c r="CZ54" s="114"/>
      <c r="DA54" s="114"/>
    </row>
    <row r="55" spans="3:105" ht="21.75" customHeight="1">
      <c r="C55" s="557"/>
      <c r="D55" s="549" t="str">
        <f>D17&amp;" (W2,9)"</f>
        <v>Manufacturing (ISIC 10-33) (W2,9)</v>
      </c>
      <c r="E55" s="551"/>
      <c r="F55" s="551"/>
      <c r="G55" s="551"/>
      <c r="H55" s="551"/>
      <c r="I55" s="551"/>
      <c r="J55" s="551"/>
      <c r="K55" s="551"/>
      <c r="L55" s="797"/>
      <c r="M55" s="798"/>
      <c r="N55" s="799"/>
      <c r="O55" s="551"/>
      <c r="P55" s="551"/>
      <c r="Q55" s="797"/>
      <c r="R55" s="798"/>
      <c r="S55" s="799"/>
      <c r="T55" s="551"/>
      <c r="U55" s="551"/>
      <c r="V55" s="551"/>
      <c r="W55" s="551"/>
      <c r="X55" s="551"/>
      <c r="Y55" s="551"/>
      <c r="Z55" s="554"/>
      <c r="AA55" s="807" t="str">
        <f>D34&amp;" (W2,25)"</f>
        <v>Manufacturing (ISIC 10-33) (W2,25)</v>
      </c>
      <c r="AB55" s="808"/>
      <c r="AC55" s="808"/>
      <c r="AD55" s="808"/>
      <c r="AE55" s="808"/>
      <c r="AF55" s="808"/>
      <c r="AG55" s="808"/>
      <c r="AH55" s="808"/>
      <c r="AI55" s="808"/>
      <c r="AJ55" s="809"/>
      <c r="AK55" s="571"/>
      <c r="AL55" s="571"/>
      <c r="AM55" s="571"/>
      <c r="AN55" s="551"/>
      <c r="AO55" s="551"/>
      <c r="AP55" s="551"/>
      <c r="AQ55" s="554"/>
      <c r="AR55" s="554"/>
      <c r="AS55" s="554"/>
      <c r="AT55" s="554"/>
      <c r="AU55" s="554"/>
      <c r="AV55" s="554"/>
      <c r="AW55" s="554"/>
      <c r="AX55" s="554"/>
      <c r="AY55" s="554"/>
      <c r="AZ55" s="554"/>
      <c r="BA55" s="554"/>
      <c r="BC55" s="318"/>
      <c r="BD55" s="315" t="s">
        <v>59</v>
      </c>
      <c r="BE55" s="316" t="s">
        <v>60</v>
      </c>
      <c r="BF55" s="96"/>
      <c r="BG55" s="114"/>
      <c r="BH55" s="114"/>
      <c r="BI55" s="114"/>
      <c r="BJ55" s="114"/>
      <c r="BK55" s="114"/>
      <c r="BL55" s="114"/>
      <c r="BM55" s="114"/>
      <c r="BN55" s="114"/>
      <c r="BO55" s="114"/>
      <c r="BP55" s="114"/>
      <c r="BQ55" s="114"/>
      <c r="BR55" s="114"/>
      <c r="BS55" s="114"/>
      <c r="BT55" s="114"/>
      <c r="BU55" s="114"/>
      <c r="BV55" s="114"/>
      <c r="BW55" s="114"/>
      <c r="BX55" s="114"/>
      <c r="BY55" s="114"/>
      <c r="BZ55" s="114"/>
      <c r="CA55" s="114"/>
      <c r="CB55" s="114"/>
      <c r="CC55" s="114"/>
      <c r="CD55" s="114"/>
      <c r="CE55" s="114"/>
      <c r="CF55" s="114"/>
      <c r="CG55" s="114"/>
      <c r="CH55" s="114"/>
      <c r="CI55" s="114"/>
      <c r="CJ55" s="114"/>
      <c r="CK55" s="114"/>
      <c r="CL55" s="114"/>
      <c r="CM55" s="114"/>
      <c r="CN55" s="114"/>
      <c r="CO55" s="114"/>
      <c r="CP55" s="114"/>
      <c r="CQ55" s="114"/>
      <c r="CR55" s="114"/>
      <c r="CS55" s="114"/>
      <c r="CT55" s="114"/>
      <c r="CU55" s="114"/>
      <c r="CV55" s="114"/>
      <c r="CW55" s="114"/>
      <c r="CX55" s="114"/>
      <c r="CY55" s="114"/>
      <c r="CZ55" s="114"/>
      <c r="DA55" s="114"/>
    </row>
    <row r="56" spans="3:105" ht="10.5" customHeight="1">
      <c r="C56" s="557"/>
      <c r="D56" s="562"/>
      <c r="E56" s="551"/>
      <c r="F56" s="551"/>
      <c r="G56" s="551"/>
      <c r="H56" s="551"/>
      <c r="I56" s="551"/>
      <c r="J56" s="551"/>
      <c r="K56" s="551"/>
      <c r="L56" s="797"/>
      <c r="M56" s="798"/>
      <c r="N56" s="799"/>
      <c r="O56" s="551"/>
      <c r="P56" s="551"/>
      <c r="Q56" s="797"/>
      <c r="R56" s="798"/>
      <c r="S56" s="799"/>
      <c r="T56" s="551"/>
      <c r="U56" s="551"/>
      <c r="V56" s="551"/>
      <c r="W56" s="551"/>
      <c r="X56" s="551"/>
      <c r="Y56" s="551"/>
      <c r="Z56" s="554"/>
      <c r="AA56" s="554"/>
      <c r="AB56" s="554"/>
      <c r="AC56" s="554"/>
      <c r="AD56" s="554"/>
      <c r="AE56" s="554"/>
      <c r="AF56" s="554"/>
      <c r="AG56" s="554"/>
      <c r="AH56" s="554"/>
      <c r="AI56" s="554"/>
      <c r="AJ56" s="554"/>
      <c r="AK56" s="571"/>
      <c r="AL56" s="571"/>
      <c r="AM56" s="571"/>
      <c r="AN56" s="551"/>
      <c r="AO56" s="551"/>
      <c r="AP56" s="551"/>
      <c r="AQ56" s="554"/>
      <c r="AR56" s="554"/>
      <c r="AS56" s="554"/>
      <c r="AT56" s="554"/>
      <c r="AU56" s="554"/>
      <c r="AV56" s="554"/>
      <c r="AW56" s="554"/>
      <c r="AX56" s="554"/>
      <c r="AY56" s="554"/>
      <c r="AZ56" s="554"/>
      <c r="BA56" s="554"/>
      <c r="BC56" s="318"/>
      <c r="BD56" s="317" t="s">
        <v>62</v>
      </c>
      <c r="BE56" s="316" t="s">
        <v>64</v>
      </c>
      <c r="BF56" s="96"/>
      <c r="BG56" s="114"/>
      <c r="BH56" s="114"/>
      <c r="BI56" s="114"/>
      <c r="BJ56" s="114"/>
      <c r="BK56" s="114"/>
      <c r="BL56" s="114"/>
      <c r="BM56" s="114"/>
      <c r="BN56" s="114"/>
      <c r="BO56" s="114"/>
      <c r="BP56" s="114"/>
      <c r="BQ56" s="114"/>
      <c r="BR56" s="114"/>
      <c r="BS56" s="114"/>
      <c r="BT56" s="114"/>
      <c r="BU56" s="114"/>
      <c r="BV56" s="114"/>
      <c r="BW56" s="114"/>
      <c r="BX56" s="114"/>
      <c r="BY56" s="114"/>
      <c r="BZ56" s="114"/>
      <c r="CA56" s="114"/>
      <c r="CB56" s="114"/>
      <c r="CC56" s="114"/>
      <c r="CD56" s="114"/>
      <c r="CE56" s="114"/>
      <c r="CF56" s="114"/>
      <c r="CG56" s="114"/>
      <c r="CH56" s="114"/>
      <c r="CI56" s="114"/>
      <c r="CJ56" s="114"/>
      <c r="CK56" s="114"/>
      <c r="CL56" s="114"/>
      <c r="CM56" s="114"/>
      <c r="CN56" s="114"/>
      <c r="CO56" s="114"/>
      <c r="CP56" s="114"/>
      <c r="CQ56" s="114"/>
      <c r="CR56" s="114"/>
      <c r="CS56" s="114"/>
      <c r="CT56" s="114"/>
      <c r="CU56" s="114"/>
      <c r="CV56" s="114"/>
      <c r="CW56" s="114"/>
      <c r="CX56" s="114"/>
      <c r="CY56" s="114"/>
      <c r="CZ56" s="114"/>
      <c r="DA56" s="114"/>
    </row>
    <row r="57" spans="3:105" ht="21.75" customHeight="1">
      <c r="C57" s="557"/>
      <c r="D57" s="549" t="str">
        <f>D18&amp;" (W2,10)"</f>
        <v>Electricity, gas, steam and air conditioning supply  (ISIC 35) (W2,10)</v>
      </c>
      <c r="E57" s="551"/>
      <c r="F57" s="551"/>
      <c r="G57" s="551"/>
      <c r="H57" s="551"/>
      <c r="I57" s="551"/>
      <c r="J57" s="551"/>
      <c r="K57" s="551"/>
      <c r="L57" s="800"/>
      <c r="M57" s="801"/>
      <c r="N57" s="802"/>
      <c r="O57" s="551"/>
      <c r="P57" s="551"/>
      <c r="Q57" s="800"/>
      <c r="R57" s="801"/>
      <c r="S57" s="802"/>
      <c r="T57" s="551"/>
      <c r="U57" s="551"/>
      <c r="V57" s="551"/>
      <c r="W57" s="551"/>
      <c r="X57" s="555"/>
      <c r="Y57" s="289"/>
      <c r="Z57" s="289"/>
      <c r="AA57" s="807" t="str">
        <f>D35&amp;" (W2,26)"</f>
        <v>Electricity, gas, steam and air conditioning supply  (ISIC 35) (W2,26)</v>
      </c>
      <c r="AB57" s="808"/>
      <c r="AC57" s="808"/>
      <c r="AD57" s="808"/>
      <c r="AE57" s="808"/>
      <c r="AF57" s="808"/>
      <c r="AG57" s="808"/>
      <c r="AH57" s="808"/>
      <c r="AI57" s="808"/>
      <c r="AJ57" s="809"/>
      <c r="AK57" s="554"/>
      <c r="AL57" s="554"/>
      <c r="AM57" s="554"/>
      <c r="AN57" s="551"/>
      <c r="AO57" s="551"/>
      <c r="AP57" s="551"/>
      <c r="AQ57" s="753"/>
      <c r="AR57" s="753"/>
      <c r="AS57" s="753"/>
      <c r="AT57" s="753"/>
      <c r="AU57" s="753"/>
      <c r="AV57" s="753"/>
      <c r="AW57" s="753"/>
      <c r="AX57" s="753"/>
      <c r="AY57" s="753"/>
      <c r="AZ57" s="753"/>
      <c r="BA57" s="810"/>
      <c r="BC57" s="318"/>
      <c r="BD57" s="317" t="s">
        <v>61</v>
      </c>
      <c r="BE57" s="316" t="s">
        <v>13</v>
      </c>
      <c r="BF57" s="96"/>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4"/>
      <c r="CF57" s="114"/>
      <c r="CG57" s="114"/>
      <c r="CH57" s="114"/>
      <c r="CI57" s="114"/>
      <c r="CJ57" s="114"/>
      <c r="CK57" s="114"/>
      <c r="CL57" s="114"/>
      <c r="CM57" s="114"/>
      <c r="CN57" s="114"/>
      <c r="CO57" s="114"/>
      <c r="CP57" s="114"/>
      <c r="CQ57" s="114"/>
      <c r="CR57" s="114"/>
      <c r="CS57" s="114"/>
      <c r="CT57" s="114"/>
      <c r="CU57" s="114"/>
      <c r="CV57" s="114"/>
      <c r="CW57" s="114"/>
      <c r="CX57" s="114"/>
      <c r="CY57" s="114"/>
      <c r="CZ57" s="114"/>
      <c r="DA57" s="114"/>
    </row>
    <row r="58" spans="3:106" ht="12" customHeight="1">
      <c r="C58" s="557"/>
      <c r="D58" s="562"/>
      <c r="E58" s="551"/>
      <c r="F58" s="794" t="str">
        <f>D24&amp;" - "&amp;D25&amp;"  =(W2,16) - (W2,17)"</f>
        <v>Imports of water - Exports of water  =(W2,16) - (W2,17)</v>
      </c>
      <c r="G58" s="795"/>
      <c r="H58" s="796"/>
      <c r="I58" s="551"/>
      <c r="J58" s="551"/>
      <c r="K58" s="551"/>
      <c r="L58" s="551"/>
      <c r="M58" s="551"/>
      <c r="N58" s="551"/>
      <c r="O58" s="551"/>
      <c r="P58" s="551"/>
      <c r="Q58" s="551"/>
      <c r="R58" s="551"/>
      <c r="S58" s="551"/>
      <c r="T58" s="551"/>
      <c r="U58" s="551"/>
      <c r="V58" s="551"/>
      <c r="W58" s="551"/>
      <c r="X58" s="555"/>
      <c r="Y58" s="289"/>
      <c r="Z58" s="627"/>
      <c r="AB58" s="753"/>
      <c r="AC58" s="753"/>
      <c r="AD58" s="753"/>
      <c r="AE58" s="753"/>
      <c r="AF58" s="753"/>
      <c r="AG58" s="753"/>
      <c r="AH58" s="753"/>
      <c r="AI58" s="753"/>
      <c r="AJ58" s="753"/>
      <c r="AK58" s="554"/>
      <c r="AL58" s="554"/>
      <c r="AM58" s="554"/>
      <c r="AN58" s="551"/>
      <c r="AO58" s="551"/>
      <c r="AP58" s="551"/>
      <c r="AQ58" s="554"/>
      <c r="AR58" s="554"/>
      <c r="AS58" s="554"/>
      <c r="AT58" s="554"/>
      <c r="AU58" s="554"/>
      <c r="AV58" s="554"/>
      <c r="AW58" s="554"/>
      <c r="AX58" s="554"/>
      <c r="AY58" s="554"/>
      <c r="AZ58" s="554"/>
      <c r="BA58" s="554"/>
      <c r="BD58" s="315" t="s">
        <v>57</v>
      </c>
      <c r="BE58" s="316" t="s">
        <v>58</v>
      </c>
      <c r="BF58" s="96"/>
      <c r="BG58" s="114"/>
      <c r="BH58" s="114"/>
      <c r="BI58" s="114"/>
      <c r="BJ58" s="114"/>
      <c r="BK58" s="114"/>
      <c r="BL58" s="114"/>
      <c r="BM58" s="114"/>
      <c r="BN58" s="114"/>
      <c r="BO58" s="114"/>
      <c r="BP58" s="114"/>
      <c r="BQ58" s="114"/>
      <c r="BR58" s="114"/>
      <c r="BS58" s="114"/>
      <c r="BT58" s="114"/>
      <c r="BU58" s="114"/>
      <c r="BV58" s="114"/>
      <c r="BW58" s="114"/>
      <c r="BX58" s="114"/>
      <c r="BY58" s="114"/>
      <c r="BZ58" s="114"/>
      <c r="CA58" s="114"/>
      <c r="CB58" s="114"/>
      <c r="CC58" s="114"/>
      <c r="CD58" s="114"/>
      <c r="CE58" s="114"/>
      <c r="CF58" s="114"/>
      <c r="CG58" s="114"/>
      <c r="CH58" s="114"/>
      <c r="CI58" s="114"/>
      <c r="CJ58" s="114"/>
      <c r="CK58" s="114"/>
      <c r="CL58" s="114"/>
      <c r="CM58" s="114"/>
      <c r="CN58" s="114"/>
      <c r="CO58" s="114"/>
      <c r="CP58" s="114"/>
      <c r="CQ58" s="114"/>
      <c r="CR58" s="114"/>
      <c r="CS58" s="114"/>
      <c r="CT58" s="114"/>
      <c r="CU58" s="114"/>
      <c r="CV58" s="114"/>
      <c r="CW58" s="114"/>
      <c r="CX58" s="114"/>
      <c r="CY58" s="114"/>
      <c r="CZ58" s="114"/>
      <c r="DA58" s="114"/>
      <c r="DB58" s="308"/>
    </row>
    <row r="59" spans="3:106" ht="21.75" customHeight="1">
      <c r="C59" s="557"/>
      <c r="D59" s="549" t="str">
        <f>D20&amp;" (W2,12)"</f>
        <v>Construction (ISIC 41-43) (W2,12)</v>
      </c>
      <c r="E59" s="551"/>
      <c r="F59" s="797"/>
      <c r="G59" s="798"/>
      <c r="H59" s="799"/>
      <c r="I59" s="551"/>
      <c r="J59" s="551"/>
      <c r="K59" s="551"/>
      <c r="L59" s="551"/>
      <c r="M59" s="551"/>
      <c r="N59" s="794" t="str">
        <f>D27&amp;" (W2,19)"</f>
        <v>Losses during transport (W2,19)</v>
      </c>
      <c r="O59" s="795"/>
      <c r="P59" s="796"/>
      <c r="Q59" s="551"/>
      <c r="R59" s="551"/>
      <c r="S59" s="551"/>
      <c r="T59" s="551"/>
      <c r="U59" s="551"/>
      <c r="V59" s="551"/>
      <c r="W59" s="551"/>
      <c r="X59" s="555"/>
      <c r="Y59" s="289"/>
      <c r="Z59" s="627"/>
      <c r="AA59" s="807" t="str">
        <f>D37&amp;" (W2,28)"</f>
        <v>Construction (ISIC 41-43) (W2,28)</v>
      </c>
      <c r="AB59" s="808"/>
      <c r="AC59" s="808"/>
      <c r="AD59" s="808"/>
      <c r="AE59" s="808"/>
      <c r="AF59" s="808"/>
      <c r="AG59" s="808"/>
      <c r="AH59" s="808"/>
      <c r="AI59" s="808"/>
      <c r="AJ59" s="809"/>
      <c r="AK59" s="289"/>
      <c r="AL59" s="289"/>
      <c r="AM59" s="554"/>
      <c r="AN59" s="551"/>
      <c r="AO59" s="551"/>
      <c r="AP59" s="551"/>
      <c r="AQ59" s="753"/>
      <c r="AR59" s="753"/>
      <c r="AS59" s="753"/>
      <c r="AT59" s="753"/>
      <c r="AU59" s="753"/>
      <c r="AV59" s="753"/>
      <c r="AW59" s="753"/>
      <c r="AX59" s="753"/>
      <c r="AY59" s="753"/>
      <c r="AZ59" s="753"/>
      <c r="BA59" s="810"/>
      <c r="BD59" s="315" t="s">
        <v>59</v>
      </c>
      <c r="BE59" s="316" t="s">
        <v>60</v>
      </c>
      <c r="BF59" s="96"/>
      <c r="BG59" s="114"/>
      <c r="BH59" s="114"/>
      <c r="BI59" s="114"/>
      <c r="BJ59" s="114"/>
      <c r="BK59" s="114"/>
      <c r="BL59" s="114"/>
      <c r="BM59" s="114"/>
      <c r="BN59" s="114"/>
      <c r="BO59" s="114"/>
      <c r="BP59" s="114"/>
      <c r="BQ59" s="114"/>
      <c r="BR59" s="114"/>
      <c r="BS59" s="114"/>
      <c r="BT59" s="114"/>
      <c r="BU59" s="114"/>
      <c r="BV59" s="114"/>
      <c r="BW59" s="114"/>
      <c r="BX59" s="114"/>
      <c r="BY59" s="114"/>
      <c r="BZ59" s="114"/>
      <c r="CA59" s="114"/>
      <c r="CB59" s="114"/>
      <c r="CC59" s="114"/>
      <c r="CD59" s="114"/>
      <c r="CE59" s="114"/>
      <c r="CF59" s="114"/>
      <c r="CG59" s="114"/>
      <c r="CH59" s="114"/>
      <c r="CI59" s="114"/>
      <c r="CJ59" s="114"/>
      <c r="CK59" s="114"/>
      <c r="CL59" s="114"/>
      <c r="CM59" s="114"/>
      <c r="CN59" s="114"/>
      <c r="CO59" s="114"/>
      <c r="CP59" s="114"/>
      <c r="CQ59" s="114"/>
      <c r="CR59" s="114"/>
      <c r="CS59" s="114"/>
      <c r="CT59" s="114"/>
      <c r="CU59" s="114"/>
      <c r="CV59" s="114"/>
      <c r="CW59" s="114"/>
      <c r="CX59" s="114"/>
      <c r="CY59" s="114"/>
      <c r="CZ59" s="114"/>
      <c r="DA59" s="114"/>
      <c r="DB59" s="308"/>
    </row>
    <row r="60" spans="3:106" ht="12" customHeight="1">
      <c r="C60" s="557"/>
      <c r="D60" s="562"/>
      <c r="E60" s="551"/>
      <c r="F60" s="819"/>
      <c r="G60" s="820"/>
      <c r="H60" s="821"/>
      <c r="I60" s="551"/>
      <c r="J60" s="551"/>
      <c r="K60" s="551"/>
      <c r="L60" s="551"/>
      <c r="M60" s="551"/>
      <c r="N60" s="800"/>
      <c r="O60" s="801"/>
      <c r="P60" s="802"/>
      <c r="Q60" s="551"/>
      <c r="R60" s="551"/>
      <c r="S60" s="551"/>
      <c r="T60" s="551"/>
      <c r="U60" s="551"/>
      <c r="V60" s="551"/>
      <c r="W60" s="551"/>
      <c r="X60" s="555"/>
      <c r="Y60" s="571"/>
      <c r="Z60" s="627"/>
      <c r="AA60" s="627"/>
      <c r="AB60" s="627"/>
      <c r="AC60" s="551"/>
      <c r="AD60" s="551"/>
      <c r="AE60" s="554"/>
      <c r="AF60" s="554"/>
      <c r="AG60" s="554"/>
      <c r="AH60" s="289"/>
      <c r="AI60" s="289"/>
      <c r="AJ60" s="289"/>
      <c r="AK60" s="289"/>
      <c r="AL60" s="289"/>
      <c r="AM60" s="554"/>
      <c r="AN60" s="551"/>
      <c r="AO60" s="551"/>
      <c r="AP60" s="551"/>
      <c r="AQ60" s="551"/>
      <c r="AR60" s="551"/>
      <c r="AS60" s="551"/>
      <c r="AT60" s="551"/>
      <c r="AU60" s="551"/>
      <c r="AV60" s="551"/>
      <c r="AW60" s="551"/>
      <c r="AX60" s="551"/>
      <c r="AY60" s="551"/>
      <c r="AZ60" s="551"/>
      <c r="BA60" s="551"/>
      <c r="BD60" s="317" t="s">
        <v>62</v>
      </c>
      <c r="BE60" s="316" t="s">
        <v>64</v>
      </c>
      <c r="BF60" s="96"/>
      <c r="BG60" s="114"/>
      <c r="BH60" s="114"/>
      <c r="BI60" s="114"/>
      <c r="BJ60" s="114"/>
      <c r="BK60" s="114"/>
      <c r="BL60" s="114"/>
      <c r="BM60" s="114"/>
      <c r="BN60" s="114"/>
      <c r="BO60" s="114"/>
      <c r="BP60" s="114"/>
      <c r="BQ60" s="114"/>
      <c r="BR60" s="114"/>
      <c r="BS60" s="114"/>
      <c r="BT60" s="114"/>
      <c r="BU60" s="114"/>
      <c r="BV60" s="114"/>
      <c r="BW60" s="114"/>
      <c r="BX60" s="114"/>
      <c r="BY60" s="114"/>
      <c r="BZ60" s="114"/>
      <c r="CA60" s="114"/>
      <c r="CB60" s="114"/>
      <c r="CC60" s="114"/>
      <c r="CD60" s="114"/>
      <c r="CE60" s="114"/>
      <c r="CF60" s="114"/>
      <c r="CG60" s="114"/>
      <c r="CH60" s="114"/>
      <c r="CI60" s="114"/>
      <c r="CJ60" s="114"/>
      <c r="CK60" s="114"/>
      <c r="CL60" s="114"/>
      <c r="CM60" s="114"/>
      <c r="CN60" s="114"/>
      <c r="CO60" s="114"/>
      <c r="CP60" s="114"/>
      <c r="CQ60" s="114"/>
      <c r="CR60" s="114"/>
      <c r="CS60" s="114"/>
      <c r="CT60" s="114"/>
      <c r="CU60" s="114"/>
      <c r="CV60" s="114"/>
      <c r="CW60" s="114"/>
      <c r="CX60" s="114"/>
      <c r="CY60" s="114"/>
      <c r="CZ60" s="114"/>
      <c r="DA60" s="114"/>
      <c r="DB60" s="308"/>
    </row>
    <row r="61" spans="3:106" ht="21.75" customHeight="1">
      <c r="C61" s="557"/>
      <c r="D61" s="549" t="str">
        <f>D21&amp;" (W2,13)"</f>
        <v>Other economic activities (W2,13)</v>
      </c>
      <c r="E61" s="551"/>
      <c r="F61" s="551"/>
      <c r="G61" s="551"/>
      <c r="H61" s="551"/>
      <c r="I61" s="551"/>
      <c r="J61" s="551"/>
      <c r="K61" s="551"/>
      <c r="L61" s="551"/>
      <c r="M61" s="551"/>
      <c r="N61" s="551"/>
      <c r="O61" s="551"/>
      <c r="P61" s="551"/>
      <c r="Q61" s="551"/>
      <c r="R61" s="551"/>
      <c r="S61" s="551"/>
      <c r="T61" s="551"/>
      <c r="U61" s="551"/>
      <c r="V61" s="551"/>
      <c r="W61" s="551"/>
      <c r="X61" s="551"/>
      <c r="Y61" s="555"/>
      <c r="Z61" s="551"/>
      <c r="AA61" s="807" t="str">
        <f>D38&amp;" (W2,29)"</f>
        <v>Other economic activities (W2,29)</v>
      </c>
      <c r="AB61" s="814"/>
      <c r="AC61" s="814"/>
      <c r="AD61" s="814"/>
      <c r="AE61" s="814"/>
      <c r="AF61" s="814"/>
      <c r="AG61" s="814"/>
      <c r="AH61" s="814"/>
      <c r="AI61" s="814"/>
      <c r="AJ61" s="822"/>
      <c r="AK61" s="551"/>
      <c r="AL61" s="551"/>
      <c r="AM61" s="551"/>
      <c r="AN61" s="551"/>
      <c r="AO61" s="551"/>
      <c r="AP61" s="551"/>
      <c r="AQ61" s="551"/>
      <c r="AR61" s="551"/>
      <c r="AS61" s="551"/>
      <c r="AT61" s="551"/>
      <c r="AU61" s="551"/>
      <c r="AV61" s="551"/>
      <c r="AW61" s="551"/>
      <c r="AX61" s="551"/>
      <c r="AY61" s="551"/>
      <c r="AZ61" s="551"/>
      <c r="BA61" s="551"/>
      <c r="BD61" s="317" t="s">
        <v>61</v>
      </c>
      <c r="BE61" s="316" t="s">
        <v>13</v>
      </c>
      <c r="BF61" s="96"/>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c r="CN61" s="114"/>
      <c r="CO61" s="114"/>
      <c r="CP61" s="114"/>
      <c r="CQ61" s="114"/>
      <c r="CR61" s="114"/>
      <c r="CS61" s="114"/>
      <c r="CT61" s="114"/>
      <c r="CU61" s="114"/>
      <c r="CV61" s="114"/>
      <c r="CW61" s="114"/>
      <c r="CX61" s="114"/>
      <c r="CY61" s="114"/>
      <c r="CZ61" s="114"/>
      <c r="DA61" s="114"/>
      <c r="DB61" s="308"/>
    </row>
    <row r="62" spans="2:106" ht="22.5" customHeight="1">
      <c r="B62" s="181">
        <v>1</v>
      </c>
      <c r="C62" s="301" t="s">
        <v>312</v>
      </c>
      <c r="D62" s="397"/>
      <c r="E62" s="301"/>
      <c r="F62" s="213"/>
      <c r="G62" s="304"/>
      <c r="H62" s="305"/>
      <c r="I62" s="306"/>
      <c r="J62" s="305"/>
      <c r="K62" s="306"/>
      <c r="L62" s="305"/>
      <c r="M62" s="306"/>
      <c r="N62" s="305"/>
      <c r="O62" s="306"/>
      <c r="P62" s="305"/>
      <c r="Q62" s="306"/>
      <c r="R62" s="305"/>
      <c r="S62" s="306"/>
      <c r="T62" s="305"/>
      <c r="U62" s="306"/>
      <c r="V62" s="305"/>
      <c r="W62" s="304"/>
      <c r="X62" s="305"/>
      <c r="Y62" s="304"/>
      <c r="Z62" s="305"/>
      <c r="AA62" s="304"/>
      <c r="AB62" s="305"/>
      <c r="AC62" s="304"/>
      <c r="AD62" s="305"/>
      <c r="AE62" s="304"/>
      <c r="AF62" s="398"/>
      <c r="AG62" s="304"/>
      <c r="AH62" s="305"/>
      <c r="AI62" s="306"/>
      <c r="AJ62" s="305"/>
      <c r="AK62" s="304"/>
      <c r="AL62" s="305"/>
      <c r="AM62" s="304"/>
      <c r="AN62" s="305"/>
      <c r="AO62" s="356"/>
      <c r="AP62" s="356"/>
      <c r="AQ62" s="356"/>
      <c r="AR62" s="356"/>
      <c r="AS62" s="356"/>
      <c r="AT62" s="355"/>
      <c r="AU62" s="303"/>
      <c r="AV62" s="356"/>
      <c r="AW62" s="356"/>
      <c r="AX62" s="355"/>
      <c r="AY62" s="303"/>
      <c r="AZ62" s="355"/>
      <c r="BA62" s="303"/>
      <c r="BD62" s="547"/>
      <c r="BE62" s="547"/>
      <c r="BF62" s="96"/>
      <c r="BG62" s="114"/>
      <c r="BH62" s="114"/>
      <c r="BI62" s="114"/>
      <c r="BJ62" s="114"/>
      <c r="BK62" s="114"/>
      <c r="BL62" s="114"/>
      <c r="BM62" s="114"/>
      <c r="BN62" s="114"/>
      <c r="BO62" s="114"/>
      <c r="BP62" s="114"/>
      <c r="BQ62" s="114"/>
      <c r="BR62" s="114"/>
      <c r="BS62" s="114"/>
      <c r="BT62" s="114"/>
      <c r="BU62" s="114"/>
      <c r="BV62" s="114"/>
      <c r="BW62" s="114"/>
      <c r="BX62" s="114"/>
      <c r="BY62" s="114"/>
      <c r="BZ62" s="114"/>
      <c r="CA62" s="114"/>
      <c r="CB62" s="114"/>
      <c r="CC62" s="114"/>
      <c r="CD62" s="114"/>
      <c r="CE62" s="114"/>
      <c r="CF62" s="114"/>
      <c r="CG62" s="114"/>
      <c r="CH62" s="114"/>
      <c r="CI62" s="114"/>
      <c r="CJ62" s="114"/>
      <c r="CK62" s="114"/>
      <c r="CL62" s="114"/>
      <c r="CM62" s="114"/>
      <c r="CN62" s="114"/>
      <c r="CO62" s="114"/>
      <c r="CP62" s="114"/>
      <c r="CQ62" s="114"/>
      <c r="CR62" s="114"/>
      <c r="CS62" s="114"/>
      <c r="CT62" s="114"/>
      <c r="CU62" s="114"/>
      <c r="CV62" s="114"/>
      <c r="CW62" s="114"/>
      <c r="CX62" s="114"/>
      <c r="CY62" s="114"/>
      <c r="CZ62" s="114"/>
      <c r="DA62" s="114"/>
      <c r="DB62" s="308"/>
    </row>
    <row r="63" spans="3:106" ht="9" customHeight="1">
      <c r="C63" s="544"/>
      <c r="D63" s="544"/>
      <c r="E63" s="545"/>
      <c r="F63" s="414"/>
      <c r="G63" s="336"/>
      <c r="H63" s="341"/>
      <c r="I63" s="419"/>
      <c r="J63" s="341"/>
      <c r="K63" s="419"/>
      <c r="L63" s="341"/>
      <c r="M63" s="419"/>
      <c r="N63" s="341"/>
      <c r="O63" s="419"/>
      <c r="P63" s="341"/>
      <c r="Q63" s="419"/>
      <c r="R63" s="341"/>
      <c r="S63" s="419"/>
      <c r="T63" s="341"/>
      <c r="U63" s="419"/>
      <c r="V63" s="341"/>
      <c r="W63" s="336"/>
      <c r="X63" s="341"/>
      <c r="Y63" s="336"/>
      <c r="Z63" s="341"/>
      <c r="AA63" s="336"/>
      <c r="AB63" s="341"/>
      <c r="AC63" s="336"/>
      <c r="AD63" s="341"/>
      <c r="AE63" s="336"/>
      <c r="AF63" s="546"/>
      <c r="AG63" s="336"/>
      <c r="AH63" s="341"/>
      <c r="AI63" s="419"/>
      <c r="AJ63" s="341"/>
      <c r="AK63" s="336"/>
      <c r="AL63" s="341"/>
      <c r="AM63" s="336"/>
      <c r="AN63" s="341"/>
      <c r="BD63" s="412"/>
      <c r="BE63" s="413"/>
      <c r="BF63" s="96"/>
      <c r="BG63" s="114"/>
      <c r="BH63" s="114"/>
      <c r="BI63" s="114"/>
      <c r="BJ63" s="114"/>
      <c r="BK63" s="114"/>
      <c r="BL63" s="114"/>
      <c r="BM63" s="114"/>
      <c r="BN63" s="114"/>
      <c r="BO63" s="114"/>
      <c r="BP63" s="114"/>
      <c r="BQ63" s="114"/>
      <c r="BR63" s="114"/>
      <c r="BS63" s="114"/>
      <c r="BT63" s="114"/>
      <c r="BU63" s="114"/>
      <c r="BV63" s="114"/>
      <c r="BW63" s="114"/>
      <c r="BX63" s="114"/>
      <c r="BY63" s="114"/>
      <c r="BZ63" s="114"/>
      <c r="CA63" s="114"/>
      <c r="CB63" s="114"/>
      <c r="CC63" s="114"/>
      <c r="CD63" s="114"/>
      <c r="CE63" s="114"/>
      <c r="CF63" s="114"/>
      <c r="CG63" s="114"/>
      <c r="CH63" s="114"/>
      <c r="CI63" s="114"/>
      <c r="CJ63" s="114"/>
      <c r="CK63" s="114"/>
      <c r="CL63" s="114"/>
      <c r="CM63" s="114"/>
      <c r="CN63" s="114"/>
      <c r="CO63" s="114"/>
      <c r="CP63" s="114"/>
      <c r="CQ63" s="114"/>
      <c r="CR63" s="114"/>
      <c r="CS63" s="114"/>
      <c r="CT63" s="114"/>
      <c r="CU63" s="114"/>
      <c r="CV63" s="114"/>
      <c r="CW63" s="114"/>
      <c r="CX63" s="114"/>
      <c r="CY63" s="114"/>
      <c r="CZ63" s="114"/>
      <c r="DA63" s="114"/>
      <c r="DB63" s="308"/>
    </row>
    <row r="64" spans="3:106" ht="18" customHeight="1">
      <c r="C64" s="312" t="s">
        <v>307</v>
      </c>
      <c r="D64" s="474" t="s">
        <v>310</v>
      </c>
      <c r="E64" s="402"/>
      <c r="F64" s="403"/>
      <c r="G64" s="404"/>
      <c r="H64" s="405"/>
      <c r="I64" s="406"/>
      <c r="J64" s="405"/>
      <c r="K64" s="406"/>
      <c r="L64" s="405"/>
      <c r="M64" s="406"/>
      <c r="N64" s="405"/>
      <c r="O64" s="406"/>
      <c r="P64" s="405"/>
      <c r="Q64" s="406"/>
      <c r="R64" s="405"/>
      <c r="S64" s="406"/>
      <c r="T64" s="405"/>
      <c r="U64" s="406"/>
      <c r="V64" s="405"/>
      <c r="W64" s="404"/>
      <c r="X64" s="405"/>
      <c r="Y64" s="404"/>
      <c r="Z64" s="405"/>
      <c r="AA64" s="404"/>
      <c r="AB64" s="405"/>
      <c r="AC64" s="404"/>
      <c r="AD64" s="405"/>
      <c r="AE64" s="404"/>
      <c r="AF64" s="407"/>
      <c r="AG64" s="404"/>
      <c r="AH64" s="405"/>
      <c r="AI64" s="406"/>
      <c r="AJ64" s="405"/>
      <c r="AK64" s="404"/>
      <c r="AL64" s="405"/>
      <c r="AM64" s="404"/>
      <c r="AN64" s="405"/>
      <c r="AO64" s="404"/>
      <c r="AP64" s="404"/>
      <c r="AQ64" s="404"/>
      <c r="AR64" s="404"/>
      <c r="AS64" s="404"/>
      <c r="AT64" s="405"/>
      <c r="AU64" s="408"/>
      <c r="AV64" s="404"/>
      <c r="AW64" s="404"/>
      <c r="AX64" s="405"/>
      <c r="AY64" s="408"/>
      <c r="AZ64" s="405"/>
      <c r="BA64" s="409"/>
      <c r="BD64" s="412"/>
      <c r="BE64" s="413"/>
      <c r="BF64" s="96"/>
      <c r="BG64" s="114"/>
      <c r="BH64" s="114"/>
      <c r="BI64" s="114"/>
      <c r="BJ64" s="114"/>
      <c r="BK64" s="114"/>
      <c r="BL64" s="114"/>
      <c r="BM64" s="114"/>
      <c r="BN64" s="114"/>
      <c r="BO64" s="114"/>
      <c r="BP64" s="114"/>
      <c r="BQ64" s="114"/>
      <c r="BR64" s="114"/>
      <c r="BS64" s="114"/>
      <c r="BT64" s="114"/>
      <c r="BU64" s="114"/>
      <c r="BV64" s="114"/>
      <c r="BW64" s="114"/>
      <c r="BX64" s="114"/>
      <c r="BY64" s="114"/>
      <c r="BZ64" s="114"/>
      <c r="CA64" s="114"/>
      <c r="CB64" s="114"/>
      <c r="CC64" s="114"/>
      <c r="CD64" s="114"/>
      <c r="CE64" s="114"/>
      <c r="CF64" s="114"/>
      <c r="CG64" s="114"/>
      <c r="CH64" s="114"/>
      <c r="CI64" s="114"/>
      <c r="CJ64" s="114"/>
      <c r="CK64" s="114"/>
      <c r="CL64" s="114"/>
      <c r="CM64" s="114"/>
      <c r="CN64" s="114"/>
      <c r="CO64" s="114"/>
      <c r="CP64" s="114"/>
      <c r="CQ64" s="114"/>
      <c r="CR64" s="114"/>
      <c r="CS64" s="114"/>
      <c r="CT64" s="114"/>
      <c r="CU64" s="114"/>
      <c r="CV64" s="114"/>
      <c r="CW64" s="114"/>
      <c r="CX64" s="114"/>
      <c r="CY64" s="114"/>
      <c r="CZ64" s="114"/>
      <c r="DA64" s="114"/>
      <c r="DB64" s="308"/>
    </row>
    <row r="65" spans="3:106" ht="18" customHeight="1">
      <c r="C65" s="542"/>
      <c r="D65" s="778"/>
      <c r="E65" s="779"/>
      <c r="F65" s="779"/>
      <c r="G65" s="779"/>
      <c r="H65" s="779"/>
      <c r="I65" s="779"/>
      <c r="J65" s="779"/>
      <c r="K65" s="779"/>
      <c r="L65" s="779"/>
      <c r="M65" s="779"/>
      <c r="N65" s="779"/>
      <c r="O65" s="779"/>
      <c r="P65" s="779"/>
      <c r="Q65" s="779"/>
      <c r="R65" s="779"/>
      <c r="S65" s="779"/>
      <c r="T65" s="779"/>
      <c r="U65" s="779"/>
      <c r="V65" s="779"/>
      <c r="W65" s="779"/>
      <c r="X65" s="779"/>
      <c r="Y65" s="779"/>
      <c r="Z65" s="779"/>
      <c r="AA65" s="779"/>
      <c r="AB65" s="779"/>
      <c r="AC65" s="779"/>
      <c r="AD65" s="779"/>
      <c r="AE65" s="779"/>
      <c r="AF65" s="779"/>
      <c r="AG65" s="779"/>
      <c r="AH65" s="779"/>
      <c r="AI65" s="779"/>
      <c r="AJ65" s="779"/>
      <c r="AK65" s="779"/>
      <c r="AL65" s="779"/>
      <c r="AM65" s="779"/>
      <c r="AN65" s="779"/>
      <c r="AO65" s="779"/>
      <c r="AP65" s="779"/>
      <c r="AQ65" s="779"/>
      <c r="AR65" s="779"/>
      <c r="AS65" s="779"/>
      <c r="AT65" s="779"/>
      <c r="AU65" s="779"/>
      <c r="AV65" s="779"/>
      <c r="AW65" s="779"/>
      <c r="AX65" s="779"/>
      <c r="AY65" s="779"/>
      <c r="AZ65" s="779"/>
      <c r="BA65" s="780"/>
      <c r="BB65" s="677"/>
      <c r="BD65" s="412"/>
      <c r="BE65" s="413"/>
      <c r="BF65" s="96"/>
      <c r="BG65" s="114"/>
      <c r="BH65" s="114"/>
      <c r="BI65" s="114"/>
      <c r="BJ65" s="114"/>
      <c r="BK65" s="114"/>
      <c r="BL65" s="114"/>
      <c r="BM65" s="114"/>
      <c r="BN65" s="114"/>
      <c r="BO65" s="114"/>
      <c r="BP65" s="114"/>
      <c r="BQ65" s="114"/>
      <c r="BR65" s="114"/>
      <c r="BS65" s="114"/>
      <c r="BT65" s="114"/>
      <c r="BU65" s="114"/>
      <c r="BV65" s="114"/>
      <c r="BW65" s="114"/>
      <c r="BX65" s="114"/>
      <c r="BY65" s="114"/>
      <c r="BZ65" s="114"/>
      <c r="CA65" s="114"/>
      <c r="CB65" s="114"/>
      <c r="CC65" s="114"/>
      <c r="CD65" s="114"/>
      <c r="CE65" s="114"/>
      <c r="CF65" s="114"/>
      <c r="CG65" s="114"/>
      <c r="CH65" s="114"/>
      <c r="CI65" s="114"/>
      <c r="CJ65" s="114"/>
      <c r="CK65" s="114"/>
      <c r="CL65" s="114"/>
      <c r="CM65" s="114"/>
      <c r="CN65" s="114"/>
      <c r="CO65" s="114"/>
      <c r="CP65" s="114"/>
      <c r="CQ65" s="114"/>
      <c r="CR65" s="114"/>
      <c r="CS65" s="114"/>
      <c r="CT65" s="114"/>
      <c r="CU65" s="114"/>
      <c r="CV65" s="114"/>
      <c r="CW65" s="114"/>
      <c r="CX65" s="114"/>
      <c r="CY65" s="114"/>
      <c r="CZ65" s="114"/>
      <c r="DA65" s="114"/>
      <c r="DB65" s="308"/>
    </row>
    <row r="66" spans="3:106" ht="18" customHeight="1">
      <c r="C66" s="542"/>
      <c r="D66" s="755"/>
      <c r="E66" s="756"/>
      <c r="F66" s="756"/>
      <c r="G66" s="756"/>
      <c r="H66" s="756"/>
      <c r="I66" s="756"/>
      <c r="J66" s="756"/>
      <c r="K66" s="756"/>
      <c r="L66" s="756"/>
      <c r="M66" s="756"/>
      <c r="N66" s="756"/>
      <c r="O66" s="756"/>
      <c r="P66" s="756"/>
      <c r="Q66" s="756"/>
      <c r="R66" s="756"/>
      <c r="S66" s="756"/>
      <c r="T66" s="756"/>
      <c r="U66" s="756"/>
      <c r="V66" s="756"/>
      <c r="W66" s="756"/>
      <c r="X66" s="756"/>
      <c r="Y66" s="756"/>
      <c r="Z66" s="756"/>
      <c r="AA66" s="756"/>
      <c r="AB66" s="756"/>
      <c r="AC66" s="756"/>
      <c r="AD66" s="756"/>
      <c r="AE66" s="756"/>
      <c r="AF66" s="756"/>
      <c r="AG66" s="756"/>
      <c r="AH66" s="756"/>
      <c r="AI66" s="756"/>
      <c r="AJ66" s="756"/>
      <c r="AK66" s="756"/>
      <c r="AL66" s="756"/>
      <c r="AM66" s="756"/>
      <c r="AN66" s="756"/>
      <c r="AO66" s="756"/>
      <c r="AP66" s="756"/>
      <c r="AQ66" s="756"/>
      <c r="AR66" s="756"/>
      <c r="AS66" s="756"/>
      <c r="AT66" s="756"/>
      <c r="AU66" s="756"/>
      <c r="AV66" s="756"/>
      <c r="AW66" s="756"/>
      <c r="AX66" s="756"/>
      <c r="AY66" s="756"/>
      <c r="AZ66" s="756"/>
      <c r="BA66" s="757"/>
      <c r="BB66" s="677"/>
      <c r="BD66" s="412"/>
      <c r="BE66" s="413"/>
      <c r="BF66" s="96"/>
      <c r="BG66" s="114"/>
      <c r="BH66" s="114"/>
      <c r="BI66" s="114"/>
      <c r="BJ66" s="114"/>
      <c r="BK66" s="114"/>
      <c r="BL66" s="114"/>
      <c r="BM66" s="114"/>
      <c r="BN66" s="114"/>
      <c r="BO66" s="114"/>
      <c r="BP66" s="114"/>
      <c r="BQ66" s="114"/>
      <c r="BR66" s="114"/>
      <c r="BS66" s="114"/>
      <c r="BT66" s="114"/>
      <c r="BU66" s="114"/>
      <c r="BV66" s="114"/>
      <c r="BW66" s="114"/>
      <c r="BX66" s="114"/>
      <c r="BY66" s="114"/>
      <c r="BZ66" s="114"/>
      <c r="CA66" s="114"/>
      <c r="CB66" s="114"/>
      <c r="CC66" s="114"/>
      <c r="CD66" s="114"/>
      <c r="CE66" s="114"/>
      <c r="CF66" s="114"/>
      <c r="CG66" s="114"/>
      <c r="CH66" s="114"/>
      <c r="CI66" s="114"/>
      <c r="CJ66" s="114"/>
      <c r="CK66" s="114"/>
      <c r="CL66" s="114"/>
      <c r="CM66" s="114"/>
      <c r="CN66" s="114"/>
      <c r="CO66" s="114"/>
      <c r="CP66" s="114"/>
      <c r="CQ66" s="114"/>
      <c r="CR66" s="114"/>
      <c r="CS66" s="114"/>
      <c r="CT66" s="114"/>
      <c r="CU66" s="114"/>
      <c r="CV66" s="114"/>
      <c r="CW66" s="114"/>
      <c r="CX66" s="114"/>
      <c r="CY66" s="114"/>
      <c r="CZ66" s="114"/>
      <c r="DA66" s="114"/>
      <c r="DB66" s="308"/>
    </row>
    <row r="67" spans="3:106" ht="18" customHeight="1">
      <c r="C67" s="542"/>
      <c r="D67" s="755"/>
      <c r="E67" s="756"/>
      <c r="F67" s="756"/>
      <c r="G67" s="756"/>
      <c r="H67" s="756"/>
      <c r="I67" s="756"/>
      <c r="J67" s="756"/>
      <c r="K67" s="756"/>
      <c r="L67" s="756"/>
      <c r="M67" s="756"/>
      <c r="N67" s="756"/>
      <c r="O67" s="756"/>
      <c r="P67" s="756"/>
      <c r="Q67" s="756"/>
      <c r="R67" s="756"/>
      <c r="S67" s="756"/>
      <c r="T67" s="756"/>
      <c r="U67" s="756"/>
      <c r="V67" s="756"/>
      <c r="W67" s="756"/>
      <c r="X67" s="756"/>
      <c r="Y67" s="756"/>
      <c r="Z67" s="756"/>
      <c r="AA67" s="756"/>
      <c r="AB67" s="756"/>
      <c r="AC67" s="756"/>
      <c r="AD67" s="756"/>
      <c r="AE67" s="756"/>
      <c r="AF67" s="756"/>
      <c r="AG67" s="756"/>
      <c r="AH67" s="756"/>
      <c r="AI67" s="756"/>
      <c r="AJ67" s="756"/>
      <c r="AK67" s="756"/>
      <c r="AL67" s="756"/>
      <c r="AM67" s="756"/>
      <c r="AN67" s="756"/>
      <c r="AO67" s="756"/>
      <c r="AP67" s="756"/>
      <c r="AQ67" s="756"/>
      <c r="AR67" s="756"/>
      <c r="AS67" s="756"/>
      <c r="AT67" s="756"/>
      <c r="AU67" s="756"/>
      <c r="AV67" s="756"/>
      <c r="AW67" s="756"/>
      <c r="AX67" s="756"/>
      <c r="AY67" s="756"/>
      <c r="AZ67" s="756"/>
      <c r="BA67" s="757"/>
      <c r="BB67" s="677"/>
      <c r="BD67" s="412"/>
      <c r="BE67" s="413"/>
      <c r="BF67" s="96"/>
      <c r="BG67" s="114"/>
      <c r="BH67" s="114"/>
      <c r="BI67" s="114"/>
      <c r="BJ67" s="114"/>
      <c r="BK67" s="114"/>
      <c r="BL67" s="114"/>
      <c r="BM67" s="114"/>
      <c r="BN67" s="114"/>
      <c r="BO67" s="114"/>
      <c r="BP67" s="114"/>
      <c r="BQ67" s="114"/>
      <c r="BR67" s="114"/>
      <c r="BS67" s="114"/>
      <c r="BT67" s="114"/>
      <c r="BU67" s="114"/>
      <c r="BV67" s="114"/>
      <c r="BW67" s="114"/>
      <c r="BX67" s="114"/>
      <c r="BY67" s="114"/>
      <c r="BZ67" s="114"/>
      <c r="CA67" s="114"/>
      <c r="CB67" s="114"/>
      <c r="CC67" s="114"/>
      <c r="CD67" s="114"/>
      <c r="CE67" s="114"/>
      <c r="CF67" s="114"/>
      <c r="CG67" s="114"/>
      <c r="CH67" s="114"/>
      <c r="CI67" s="114"/>
      <c r="CJ67" s="114"/>
      <c r="CK67" s="114"/>
      <c r="CL67" s="114"/>
      <c r="CM67" s="114"/>
      <c r="CN67" s="114"/>
      <c r="CO67" s="114"/>
      <c r="CP67" s="114"/>
      <c r="CQ67" s="114"/>
      <c r="CR67" s="114"/>
      <c r="CS67" s="114"/>
      <c r="CT67" s="114"/>
      <c r="CU67" s="114"/>
      <c r="CV67" s="114"/>
      <c r="CW67" s="114"/>
      <c r="CX67" s="114"/>
      <c r="CY67" s="114"/>
      <c r="CZ67" s="114"/>
      <c r="DA67" s="114"/>
      <c r="DB67" s="308"/>
    </row>
    <row r="68" spans="3:106" ht="18" customHeight="1">
      <c r="C68" s="542"/>
      <c r="D68" s="755"/>
      <c r="E68" s="756"/>
      <c r="F68" s="756"/>
      <c r="G68" s="756"/>
      <c r="H68" s="756"/>
      <c r="I68" s="756"/>
      <c r="J68" s="756"/>
      <c r="K68" s="756"/>
      <c r="L68" s="756"/>
      <c r="M68" s="756"/>
      <c r="N68" s="756"/>
      <c r="O68" s="756"/>
      <c r="P68" s="756"/>
      <c r="Q68" s="756"/>
      <c r="R68" s="756"/>
      <c r="S68" s="756"/>
      <c r="T68" s="756"/>
      <c r="U68" s="756"/>
      <c r="V68" s="756"/>
      <c r="W68" s="756"/>
      <c r="X68" s="756"/>
      <c r="Y68" s="756"/>
      <c r="Z68" s="756"/>
      <c r="AA68" s="756"/>
      <c r="AB68" s="756"/>
      <c r="AC68" s="756"/>
      <c r="AD68" s="756"/>
      <c r="AE68" s="756"/>
      <c r="AF68" s="756"/>
      <c r="AG68" s="756"/>
      <c r="AH68" s="756"/>
      <c r="AI68" s="756"/>
      <c r="AJ68" s="756"/>
      <c r="AK68" s="756"/>
      <c r="AL68" s="756"/>
      <c r="AM68" s="756"/>
      <c r="AN68" s="756"/>
      <c r="AO68" s="756"/>
      <c r="AP68" s="756"/>
      <c r="AQ68" s="756"/>
      <c r="AR68" s="756"/>
      <c r="AS68" s="756"/>
      <c r="AT68" s="756"/>
      <c r="AU68" s="756"/>
      <c r="AV68" s="756"/>
      <c r="AW68" s="756"/>
      <c r="AX68" s="756"/>
      <c r="AY68" s="756"/>
      <c r="AZ68" s="756"/>
      <c r="BA68" s="757"/>
      <c r="BB68" s="677"/>
      <c r="BD68" s="412"/>
      <c r="BE68" s="413"/>
      <c r="BF68" s="96"/>
      <c r="BG68" s="114"/>
      <c r="BH68" s="114"/>
      <c r="BI68" s="114"/>
      <c r="BJ68" s="114"/>
      <c r="BK68" s="114"/>
      <c r="BL68" s="114"/>
      <c r="BM68" s="114"/>
      <c r="BN68" s="114"/>
      <c r="BO68" s="114"/>
      <c r="BP68" s="114"/>
      <c r="BQ68" s="114"/>
      <c r="BR68" s="114"/>
      <c r="BS68" s="114"/>
      <c r="BT68" s="114"/>
      <c r="BU68" s="114"/>
      <c r="BV68" s="114"/>
      <c r="BW68" s="114"/>
      <c r="BX68" s="114"/>
      <c r="BY68" s="114"/>
      <c r="BZ68" s="114"/>
      <c r="CA68" s="114"/>
      <c r="CB68" s="114"/>
      <c r="CC68" s="114"/>
      <c r="CD68" s="114"/>
      <c r="CE68" s="114"/>
      <c r="CF68" s="114"/>
      <c r="CG68" s="114"/>
      <c r="CH68" s="114"/>
      <c r="CI68" s="114"/>
      <c r="CJ68" s="114"/>
      <c r="CK68" s="114"/>
      <c r="CL68" s="114"/>
      <c r="CM68" s="114"/>
      <c r="CN68" s="114"/>
      <c r="CO68" s="114"/>
      <c r="CP68" s="114"/>
      <c r="CQ68" s="114"/>
      <c r="CR68" s="114"/>
      <c r="CS68" s="114"/>
      <c r="CT68" s="114"/>
      <c r="CU68" s="114"/>
      <c r="CV68" s="114"/>
      <c r="CW68" s="114"/>
      <c r="CX68" s="114"/>
      <c r="CY68" s="114"/>
      <c r="CZ68" s="114"/>
      <c r="DA68" s="114"/>
      <c r="DB68" s="308"/>
    </row>
    <row r="69" spans="3:106" ht="18" customHeight="1">
      <c r="C69" s="542"/>
      <c r="D69" s="755"/>
      <c r="E69" s="756"/>
      <c r="F69" s="756"/>
      <c r="G69" s="756"/>
      <c r="H69" s="756"/>
      <c r="I69" s="756"/>
      <c r="J69" s="756"/>
      <c r="K69" s="756"/>
      <c r="L69" s="756"/>
      <c r="M69" s="756"/>
      <c r="N69" s="756"/>
      <c r="O69" s="756"/>
      <c r="P69" s="756"/>
      <c r="Q69" s="756"/>
      <c r="R69" s="756"/>
      <c r="S69" s="756"/>
      <c r="T69" s="756"/>
      <c r="U69" s="756"/>
      <c r="V69" s="756"/>
      <c r="W69" s="756"/>
      <c r="X69" s="756"/>
      <c r="Y69" s="756"/>
      <c r="Z69" s="756"/>
      <c r="AA69" s="756"/>
      <c r="AB69" s="756"/>
      <c r="AC69" s="756"/>
      <c r="AD69" s="756"/>
      <c r="AE69" s="756"/>
      <c r="AF69" s="756"/>
      <c r="AG69" s="756"/>
      <c r="AH69" s="756"/>
      <c r="AI69" s="756"/>
      <c r="AJ69" s="756"/>
      <c r="AK69" s="756"/>
      <c r="AL69" s="756"/>
      <c r="AM69" s="756"/>
      <c r="AN69" s="756"/>
      <c r="AO69" s="756"/>
      <c r="AP69" s="756"/>
      <c r="AQ69" s="756"/>
      <c r="AR69" s="756"/>
      <c r="AS69" s="756"/>
      <c r="AT69" s="756"/>
      <c r="AU69" s="756"/>
      <c r="AV69" s="756"/>
      <c r="AW69" s="756"/>
      <c r="AX69" s="756"/>
      <c r="AY69" s="756"/>
      <c r="AZ69" s="756"/>
      <c r="BA69" s="757"/>
      <c r="BB69" s="677"/>
      <c r="BD69" s="412"/>
      <c r="BE69" s="413"/>
      <c r="BF69" s="96"/>
      <c r="BG69" s="114"/>
      <c r="BH69" s="114"/>
      <c r="BI69" s="114"/>
      <c r="BJ69" s="114"/>
      <c r="BK69" s="114"/>
      <c r="BL69" s="114"/>
      <c r="BM69" s="114"/>
      <c r="BN69" s="114"/>
      <c r="BO69" s="114"/>
      <c r="BP69" s="114"/>
      <c r="BQ69" s="114"/>
      <c r="BR69" s="114"/>
      <c r="BS69" s="114"/>
      <c r="BT69" s="114"/>
      <c r="BU69" s="114"/>
      <c r="BV69" s="114"/>
      <c r="BW69" s="114"/>
      <c r="BX69" s="114"/>
      <c r="BY69" s="114"/>
      <c r="BZ69" s="114"/>
      <c r="CA69" s="114"/>
      <c r="CB69" s="114"/>
      <c r="CC69" s="114"/>
      <c r="CD69" s="114"/>
      <c r="CE69" s="114"/>
      <c r="CF69" s="114"/>
      <c r="CG69" s="114"/>
      <c r="CH69" s="114"/>
      <c r="CI69" s="114"/>
      <c r="CJ69" s="114"/>
      <c r="CK69" s="114"/>
      <c r="CL69" s="114"/>
      <c r="CM69" s="114"/>
      <c r="CN69" s="114"/>
      <c r="CO69" s="114"/>
      <c r="CP69" s="114"/>
      <c r="CQ69" s="114"/>
      <c r="CR69" s="114"/>
      <c r="CS69" s="114"/>
      <c r="CT69" s="114"/>
      <c r="CU69" s="114"/>
      <c r="CV69" s="114"/>
      <c r="CW69" s="114"/>
      <c r="CX69" s="114"/>
      <c r="CY69" s="114"/>
      <c r="CZ69" s="114"/>
      <c r="DA69" s="114"/>
      <c r="DB69" s="308"/>
    </row>
    <row r="70" spans="3:106" ht="18" customHeight="1">
      <c r="C70" s="542"/>
      <c r="D70" s="755"/>
      <c r="E70" s="756"/>
      <c r="F70" s="756"/>
      <c r="G70" s="756"/>
      <c r="H70" s="756"/>
      <c r="I70" s="756"/>
      <c r="J70" s="756"/>
      <c r="K70" s="756"/>
      <c r="L70" s="756"/>
      <c r="M70" s="756"/>
      <c r="N70" s="756"/>
      <c r="O70" s="756"/>
      <c r="P70" s="756"/>
      <c r="Q70" s="756"/>
      <c r="R70" s="756"/>
      <c r="S70" s="756"/>
      <c r="T70" s="756"/>
      <c r="U70" s="756"/>
      <c r="V70" s="756"/>
      <c r="W70" s="756"/>
      <c r="X70" s="756"/>
      <c r="Y70" s="756"/>
      <c r="Z70" s="756"/>
      <c r="AA70" s="756"/>
      <c r="AB70" s="756"/>
      <c r="AC70" s="756"/>
      <c r="AD70" s="756"/>
      <c r="AE70" s="756"/>
      <c r="AF70" s="756"/>
      <c r="AG70" s="756"/>
      <c r="AH70" s="756"/>
      <c r="AI70" s="756"/>
      <c r="AJ70" s="756"/>
      <c r="AK70" s="756"/>
      <c r="AL70" s="756"/>
      <c r="AM70" s="756"/>
      <c r="AN70" s="756"/>
      <c r="AO70" s="756"/>
      <c r="AP70" s="756"/>
      <c r="AQ70" s="756"/>
      <c r="AR70" s="756"/>
      <c r="AS70" s="756"/>
      <c r="AT70" s="756"/>
      <c r="AU70" s="756"/>
      <c r="AV70" s="756"/>
      <c r="AW70" s="756"/>
      <c r="AX70" s="756"/>
      <c r="AY70" s="756"/>
      <c r="AZ70" s="756"/>
      <c r="BA70" s="757"/>
      <c r="BB70" s="677"/>
      <c r="BD70" s="412"/>
      <c r="BE70" s="413"/>
      <c r="BF70" s="96"/>
      <c r="BG70" s="114"/>
      <c r="BH70" s="114"/>
      <c r="BI70" s="114"/>
      <c r="BJ70" s="114"/>
      <c r="BK70" s="114"/>
      <c r="BL70" s="114"/>
      <c r="BM70" s="114"/>
      <c r="BN70" s="114"/>
      <c r="BO70" s="114"/>
      <c r="BP70" s="114"/>
      <c r="BQ70" s="114"/>
      <c r="BR70" s="114"/>
      <c r="BS70" s="114"/>
      <c r="BT70" s="114"/>
      <c r="BU70" s="114"/>
      <c r="BV70" s="114"/>
      <c r="BW70" s="114"/>
      <c r="BX70" s="114"/>
      <c r="BY70" s="114"/>
      <c r="BZ70" s="114"/>
      <c r="CA70" s="114"/>
      <c r="CB70" s="114"/>
      <c r="CC70" s="114"/>
      <c r="CD70" s="114"/>
      <c r="CE70" s="114"/>
      <c r="CF70" s="114"/>
      <c r="CG70" s="114"/>
      <c r="CH70" s="114"/>
      <c r="CI70" s="114"/>
      <c r="CJ70" s="114"/>
      <c r="CK70" s="114"/>
      <c r="CL70" s="114"/>
      <c r="CM70" s="114"/>
      <c r="CN70" s="114"/>
      <c r="CO70" s="114"/>
      <c r="CP70" s="114"/>
      <c r="CQ70" s="114"/>
      <c r="CR70" s="114"/>
      <c r="CS70" s="114"/>
      <c r="CT70" s="114"/>
      <c r="CU70" s="114"/>
      <c r="CV70" s="114"/>
      <c r="CW70" s="114"/>
      <c r="CX70" s="114"/>
      <c r="CY70" s="114"/>
      <c r="CZ70" s="114"/>
      <c r="DA70" s="114"/>
      <c r="DB70" s="308"/>
    </row>
    <row r="71" spans="3:106" ht="18" customHeight="1">
      <c r="C71" s="542"/>
      <c r="D71" s="755"/>
      <c r="E71" s="756"/>
      <c r="F71" s="756"/>
      <c r="G71" s="756"/>
      <c r="H71" s="756"/>
      <c r="I71" s="756"/>
      <c r="J71" s="756"/>
      <c r="K71" s="756"/>
      <c r="L71" s="756"/>
      <c r="M71" s="756"/>
      <c r="N71" s="756"/>
      <c r="O71" s="756"/>
      <c r="P71" s="756"/>
      <c r="Q71" s="756"/>
      <c r="R71" s="756"/>
      <c r="S71" s="756"/>
      <c r="T71" s="756"/>
      <c r="U71" s="756"/>
      <c r="V71" s="756"/>
      <c r="W71" s="756"/>
      <c r="X71" s="756"/>
      <c r="Y71" s="756"/>
      <c r="Z71" s="756"/>
      <c r="AA71" s="756"/>
      <c r="AB71" s="756"/>
      <c r="AC71" s="756"/>
      <c r="AD71" s="756"/>
      <c r="AE71" s="756"/>
      <c r="AF71" s="756"/>
      <c r="AG71" s="756"/>
      <c r="AH71" s="756"/>
      <c r="AI71" s="756"/>
      <c r="AJ71" s="756"/>
      <c r="AK71" s="756"/>
      <c r="AL71" s="756"/>
      <c r="AM71" s="756"/>
      <c r="AN71" s="756"/>
      <c r="AO71" s="756"/>
      <c r="AP71" s="756"/>
      <c r="AQ71" s="756"/>
      <c r="AR71" s="756"/>
      <c r="AS71" s="756"/>
      <c r="AT71" s="756"/>
      <c r="AU71" s="756"/>
      <c r="AV71" s="756"/>
      <c r="AW71" s="756"/>
      <c r="AX71" s="756"/>
      <c r="AY71" s="756"/>
      <c r="AZ71" s="756"/>
      <c r="BA71" s="757"/>
      <c r="BB71" s="677"/>
      <c r="BD71" s="412"/>
      <c r="BE71" s="413"/>
      <c r="BF71" s="96"/>
      <c r="BG71" s="114"/>
      <c r="BH71" s="114"/>
      <c r="BI71" s="114"/>
      <c r="BJ71" s="114"/>
      <c r="BK71" s="114"/>
      <c r="BL71" s="114"/>
      <c r="BM71" s="114"/>
      <c r="BN71" s="114"/>
      <c r="BO71" s="114"/>
      <c r="BP71" s="114"/>
      <c r="BQ71" s="114"/>
      <c r="BR71" s="114"/>
      <c r="BS71" s="114"/>
      <c r="BT71" s="114"/>
      <c r="BU71" s="114"/>
      <c r="BV71" s="114"/>
      <c r="BW71" s="114"/>
      <c r="BX71" s="114"/>
      <c r="BY71" s="114"/>
      <c r="BZ71" s="114"/>
      <c r="CA71" s="114"/>
      <c r="CB71" s="114"/>
      <c r="CC71" s="114"/>
      <c r="CD71" s="114"/>
      <c r="CE71" s="114"/>
      <c r="CF71" s="114"/>
      <c r="CG71" s="114"/>
      <c r="CH71" s="114"/>
      <c r="CI71" s="114"/>
      <c r="CJ71" s="114"/>
      <c r="CK71" s="114"/>
      <c r="CL71" s="114"/>
      <c r="CM71" s="114"/>
      <c r="CN71" s="114"/>
      <c r="CO71" s="114"/>
      <c r="CP71" s="114"/>
      <c r="CQ71" s="114"/>
      <c r="CR71" s="114"/>
      <c r="CS71" s="114"/>
      <c r="CT71" s="114"/>
      <c r="CU71" s="114"/>
      <c r="CV71" s="114"/>
      <c r="CW71" s="114"/>
      <c r="CX71" s="114"/>
      <c r="CY71" s="114"/>
      <c r="CZ71" s="114"/>
      <c r="DA71" s="114"/>
      <c r="DB71" s="308"/>
    </row>
    <row r="72" spans="3:106" ht="18" customHeight="1">
      <c r="C72" s="542"/>
      <c r="D72" s="755"/>
      <c r="E72" s="756"/>
      <c r="F72" s="756"/>
      <c r="G72" s="756"/>
      <c r="H72" s="756"/>
      <c r="I72" s="756"/>
      <c r="J72" s="756"/>
      <c r="K72" s="756"/>
      <c r="L72" s="756"/>
      <c r="M72" s="756"/>
      <c r="N72" s="756"/>
      <c r="O72" s="756"/>
      <c r="P72" s="756"/>
      <c r="Q72" s="756"/>
      <c r="R72" s="756"/>
      <c r="S72" s="756"/>
      <c r="T72" s="756"/>
      <c r="U72" s="756"/>
      <c r="V72" s="756"/>
      <c r="W72" s="756"/>
      <c r="X72" s="756"/>
      <c r="Y72" s="756"/>
      <c r="Z72" s="756"/>
      <c r="AA72" s="756"/>
      <c r="AB72" s="756"/>
      <c r="AC72" s="756"/>
      <c r="AD72" s="756"/>
      <c r="AE72" s="756"/>
      <c r="AF72" s="756"/>
      <c r="AG72" s="756"/>
      <c r="AH72" s="756"/>
      <c r="AI72" s="756"/>
      <c r="AJ72" s="756"/>
      <c r="AK72" s="756"/>
      <c r="AL72" s="756"/>
      <c r="AM72" s="756"/>
      <c r="AN72" s="756"/>
      <c r="AO72" s="756"/>
      <c r="AP72" s="756"/>
      <c r="AQ72" s="756"/>
      <c r="AR72" s="756"/>
      <c r="AS72" s="756"/>
      <c r="AT72" s="756"/>
      <c r="AU72" s="756"/>
      <c r="AV72" s="756"/>
      <c r="AW72" s="756"/>
      <c r="AX72" s="756"/>
      <c r="AY72" s="756"/>
      <c r="AZ72" s="756"/>
      <c r="BA72" s="757"/>
      <c r="BB72" s="677"/>
      <c r="BD72" s="412"/>
      <c r="BE72" s="415"/>
      <c r="BF72" s="96"/>
      <c r="BG72" s="114"/>
      <c r="BH72" s="114"/>
      <c r="BI72" s="114"/>
      <c r="BJ72" s="114"/>
      <c r="BK72" s="114"/>
      <c r="BL72" s="114"/>
      <c r="BM72" s="114"/>
      <c r="BN72" s="114"/>
      <c r="BO72" s="114"/>
      <c r="BP72" s="114"/>
      <c r="BQ72" s="114"/>
      <c r="BR72" s="114"/>
      <c r="BS72" s="114"/>
      <c r="BT72" s="114"/>
      <c r="BU72" s="114"/>
      <c r="BV72" s="114"/>
      <c r="BW72" s="114"/>
      <c r="BX72" s="114"/>
      <c r="BY72" s="114"/>
      <c r="BZ72" s="114"/>
      <c r="CA72" s="114"/>
      <c r="CB72" s="114"/>
      <c r="CC72" s="114"/>
      <c r="CD72" s="114"/>
      <c r="CE72" s="114"/>
      <c r="CF72" s="114"/>
      <c r="CG72" s="114"/>
      <c r="CH72" s="114"/>
      <c r="CI72" s="114"/>
      <c r="CJ72" s="114"/>
      <c r="CK72" s="114"/>
      <c r="CL72" s="114"/>
      <c r="CM72" s="114"/>
      <c r="CN72" s="114"/>
      <c r="CO72" s="114"/>
      <c r="CP72" s="114"/>
      <c r="CQ72" s="114"/>
      <c r="CR72" s="114"/>
      <c r="CS72" s="114"/>
      <c r="CT72" s="114"/>
      <c r="CU72" s="114"/>
      <c r="CV72" s="114"/>
      <c r="CW72" s="114"/>
      <c r="CX72" s="114"/>
      <c r="CY72" s="114"/>
      <c r="CZ72" s="114"/>
      <c r="DA72" s="114"/>
      <c r="DB72" s="308"/>
    </row>
    <row r="73" spans="3:106" ht="18" customHeight="1">
      <c r="C73" s="542"/>
      <c r="D73" s="755"/>
      <c r="E73" s="756"/>
      <c r="F73" s="756"/>
      <c r="G73" s="756"/>
      <c r="H73" s="756"/>
      <c r="I73" s="756"/>
      <c r="J73" s="756"/>
      <c r="K73" s="756"/>
      <c r="L73" s="756"/>
      <c r="M73" s="756"/>
      <c r="N73" s="756"/>
      <c r="O73" s="756"/>
      <c r="P73" s="756"/>
      <c r="Q73" s="756"/>
      <c r="R73" s="756"/>
      <c r="S73" s="756"/>
      <c r="T73" s="756"/>
      <c r="U73" s="756"/>
      <c r="V73" s="756"/>
      <c r="W73" s="756"/>
      <c r="X73" s="756"/>
      <c r="Y73" s="756"/>
      <c r="Z73" s="756"/>
      <c r="AA73" s="756"/>
      <c r="AB73" s="756"/>
      <c r="AC73" s="756"/>
      <c r="AD73" s="756"/>
      <c r="AE73" s="756"/>
      <c r="AF73" s="756"/>
      <c r="AG73" s="756"/>
      <c r="AH73" s="756"/>
      <c r="AI73" s="756"/>
      <c r="AJ73" s="756"/>
      <c r="AK73" s="756"/>
      <c r="AL73" s="756"/>
      <c r="AM73" s="756"/>
      <c r="AN73" s="756"/>
      <c r="AO73" s="756"/>
      <c r="AP73" s="756"/>
      <c r="AQ73" s="756"/>
      <c r="AR73" s="756"/>
      <c r="AS73" s="756"/>
      <c r="AT73" s="756"/>
      <c r="AU73" s="756"/>
      <c r="AV73" s="756"/>
      <c r="AW73" s="756"/>
      <c r="AX73" s="756"/>
      <c r="AY73" s="756"/>
      <c r="AZ73" s="756"/>
      <c r="BA73" s="757"/>
      <c r="BB73" s="677"/>
      <c r="DB73" s="308"/>
    </row>
    <row r="74" spans="3:106" ht="18" customHeight="1">
      <c r="C74" s="542"/>
      <c r="D74" s="755"/>
      <c r="E74" s="756"/>
      <c r="F74" s="756"/>
      <c r="G74" s="756"/>
      <c r="H74" s="756"/>
      <c r="I74" s="756"/>
      <c r="J74" s="756"/>
      <c r="K74" s="756"/>
      <c r="L74" s="756"/>
      <c r="M74" s="756"/>
      <c r="N74" s="756"/>
      <c r="O74" s="756"/>
      <c r="P74" s="756"/>
      <c r="Q74" s="756"/>
      <c r="R74" s="756"/>
      <c r="S74" s="756"/>
      <c r="T74" s="756"/>
      <c r="U74" s="756"/>
      <c r="V74" s="756"/>
      <c r="W74" s="756"/>
      <c r="X74" s="756"/>
      <c r="Y74" s="756"/>
      <c r="Z74" s="756"/>
      <c r="AA74" s="756"/>
      <c r="AB74" s="756"/>
      <c r="AC74" s="756"/>
      <c r="AD74" s="756"/>
      <c r="AE74" s="756"/>
      <c r="AF74" s="756"/>
      <c r="AG74" s="756"/>
      <c r="AH74" s="756"/>
      <c r="AI74" s="756"/>
      <c r="AJ74" s="756"/>
      <c r="AK74" s="756"/>
      <c r="AL74" s="756"/>
      <c r="AM74" s="756"/>
      <c r="AN74" s="756"/>
      <c r="AO74" s="756"/>
      <c r="AP74" s="756"/>
      <c r="AQ74" s="756"/>
      <c r="AR74" s="756"/>
      <c r="AS74" s="756"/>
      <c r="AT74" s="756"/>
      <c r="AU74" s="756"/>
      <c r="AV74" s="756"/>
      <c r="AW74" s="756"/>
      <c r="AX74" s="756"/>
      <c r="AY74" s="756"/>
      <c r="AZ74" s="756"/>
      <c r="BA74" s="757"/>
      <c r="BB74" s="677"/>
      <c r="DB74" s="308"/>
    </row>
    <row r="75" spans="3:106" ht="18" customHeight="1">
      <c r="C75" s="542"/>
      <c r="D75" s="755"/>
      <c r="E75" s="756"/>
      <c r="F75" s="756"/>
      <c r="G75" s="756"/>
      <c r="H75" s="756"/>
      <c r="I75" s="756"/>
      <c r="J75" s="756"/>
      <c r="K75" s="756"/>
      <c r="L75" s="756"/>
      <c r="M75" s="756"/>
      <c r="N75" s="756"/>
      <c r="O75" s="756"/>
      <c r="P75" s="756"/>
      <c r="Q75" s="756"/>
      <c r="R75" s="756"/>
      <c r="S75" s="756"/>
      <c r="T75" s="756"/>
      <c r="U75" s="756"/>
      <c r="V75" s="756"/>
      <c r="W75" s="756"/>
      <c r="X75" s="756"/>
      <c r="Y75" s="756"/>
      <c r="Z75" s="756"/>
      <c r="AA75" s="756"/>
      <c r="AB75" s="756"/>
      <c r="AC75" s="756"/>
      <c r="AD75" s="756"/>
      <c r="AE75" s="756"/>
      <c r="AF75" s="756"/>
      <c r="AG75" s="756"/>
      <c r="AH75" s="756"/>
      <c r="AI75" s="756"/>
      <c r="AJ75" s="756"/>
      <c r="AK75" s="756"/>
      <c r="AL75" s="756"/>
      <c r="AM75" s="756"/>
      <c r="AN75" s="756"/>
      <c r="AO75" s="756"/>
      <c r="AP75" s="756"/>
      <c r="AQ75" s="756"/>
      <c r="AR75" s="756"/>
      <c r="AS75" s="756"/>
      <c r="AT75" s="756"/>
      <c r="AU75" s="756"/>
      <c r="AV75" s="756"/>
      <c r="AW75" s="756"/>
      <c r="AX75" s="756"/>
      <c r="AY75" s="756"/>
      <c r="AZ75" s="756"/>
      <c r="BA75" s="757"/>
      <c r="BB75" s="677"/>
      <c r="DB75" s="308"/>
    </row>
    <row r="76" spans="3:106" ht="18" customHeight="1">
      <c r="C76" s="542"/>
      <c r="D76" s="755"/>
      <c r="E76" s="756"/>
      <c r="F76" s="756"/>
      <c r="G76" s="756"/>
      <c r="H76" s="756"/>
      <c r="I76" s="756"/>
      <c r="J76" s="756"/>
      <c r="K76" s="756"/>
      <c r="L76" s="756"/>
      <c r="M76" s="756"/>
      <c r="N76" s="756"/>
      <c r="O76" s="756"/>
      <c r="P76" s="756"/>
      <c r="Q76" s="756"/>
      <c r="R76" s="756"/>
      <c r="S76" s="756"/>
      <c r="T76" s="756"/>
      <c r="U76" s="756"/>
      <c r="V76" s="756"/>
      <c r="W76" s="756"/>
      <c r="X76" s="756"/>
      <c r="Y76" s="756"/>
      <c r="Z76" s="756"/>
      <c r="AA76" s="756"/>
      <c r="AB76" s="756"/>
      <c r="AC76" s="756"/>
      <c r="AD76" s="756"/>
      <c r="AE76" s="756"/>
      <c r="AF76" s="756"/>
      <c r="AG76" s="756"/>
      <c r="AH76" s="756"/>
      <c r="AI76" s="756"/>
      <c r="AJ76" s="756"/>
      <c r="AK76" s="756"/>
      <c r="AL76" s="756"/>
      <c r="AM76" s="756"/>
      <c r="AN76" s="756"/>
      <c r="AO76" s="756"/>
      <c r="AP76" s="756"/>
      <c r="AQ76" s="756"/>
      <c r="AR76" s="756"/>
      <c r="AS76" s="756"/>
      <c r="AT76" s="756"/>
      <c r="AU76" s="756"/>
      <c r="AV76" s="756"/>
      <c r="AW76" s="756"/>
      <c r="AX76" s="756"/>
      <c r="AY76" s="756"/>
      <c r="AZ76" s="756"/>
      <c r="BA76" s="757"/>
      <c r="BB76" s="677"/>
      <c r="DB76" s="308"/>
    </row>
    <row r="77" spans="3:106" ht="18" customHeight="1">
      <c r="C77" s="542"/>
      <c r="D77" s="755"/>
      <c r="E77" s="756"/>
      <c r="F77" s="756"/>
      <c r="G77" s="756"/>
      <c r="H77" s="756"/>
      <c r="I77" s="756"/>
      <c r="J77" s="756"/>
      <c r="K77" s="756"/>
      <c r="L77" s="756"/>
      <c r="M77" s="756"/>
      <c r="N77" s="756"/>
      <c r="O77" s="756"/>
      <c r="P77" s="756"/>
      <c r="Q77" s="756"/>
      <c r="R77" s="756"/>
      <c r="S77" s="756"/>
      <c r="T77" s="756"/>
      <c r="U77" s="756"/>
      <c r="V77" s="756"/>
      <c r="W77" s="756"/>
      <c r="X77" s="756"/>
      <c r="Y77" s="756"/>
      <c r="Z77" s="756"/>
      <c r="AA77" s="756"/>
      <c r="AB77" s="756"/>
      <c r="AC77" s="756"/>
      <c r="AD77" s="756"/>
      <c r="AE77" s="756"/>
      <c r="AF77" s="756"/>
      <c r="AG77" s="756"/>
      <c r="AH77" s="756"/>
      <c r="AI77" s="756"/>
      <c r="AJ77" s="756"/>
      <c r="AK77" s="756"/>
      <c r="AL77" s="756"/>
      <c r="AM77" s="756"/>
      <c r="AN77" s="756"/>
      <c r="AO77" s="756"/>
      <c r="AP77" s="756"/>
      <c r="AQ77" s="756"/>
      <c r="AR77" s="756"/>
      <c r="AS77" s="756"/>
      <c r="AT77" s="756"/>
      <c r="AU77" s="756"/>
      <c r="AV77" s="756"/>
      <c r="AW77" s="756"/>
      <c r="AX77" s="756"/>
      <c r="AY77" s="756"/>
      <c r="AZ77" s="756"/>
      <c r="BA77" s="757"/>
      <c r="BB77" s="677"/>
      <c r="DB77" s="308"/>
    </row>
    <row r="78" spans="2:106" ht="18" customHeight="1">
      <c r="B78" s="417"/>
      <c r="C78" s="542"/>
      <c r="D78" s="755"/>
      <c r="E78" s="756"/>
      <c r="F78" s="756"/>
      <c r="G78" s="756"/>
      <c r="H78" s="756"/>
      <c r="I78" s="756"/>
      <c r="J78" s="756"/>
      <c r="K78" s="756"/>
      <c r="L78" s="756"/>
      <c r="M78" s="756"/>
      <c r="N78" s="756"/>
      <c r="O78" s="756"/>
      <c r="P78" s="756"/>
      <c r="Q78" s="756"/>
      <c r="R78" s="756"/>
      <c r="S78" s="756"/>
      <c r="T78" s="756"/>
      <c r="U78" s="756"/>
      <c r="V78" s="756"/>
      <c r="W78" s="756"/>
      <c r="X78" s="756"/>
      <c r="Y78" s="756"/>
      <c r="Z78" s="756"/>
      <c r="AA78" s="756"/>
      <c r="AB78" s="756"/>
      <c r="AC78" s="756"/>
      <c r="AD78" s="756"/>
      <c r="AE78" s="756"/>
      <c r="AF78" s="756"/>
      <c r="AG78" s="756"/>
      <c r="AH78" s="756"/>
      <c r="AI78" s="756"/>
      <c r="AJ78" s="756"/>
      <c r="AK78" s="756"/>
      <c r="AL78" s="756"/>
      <c r="AM78" s="756"/>
      <c r="AN78" s="756"/>
      <c r="AO78" s="756"/>
      <c r="AP78" s="756"/>
      <c r="AQ78" s="756"/>
      <c r="AR78" s="756"/>
      <c r="AS78" s="756"/>
      <c r="AT78" s="756"/>
      <c r="AU78" s="756"/>
      <c r="AV78" s="756"/>
      <c r="AW78" s="756"/>
      <c r="AX78" s="756"/>
      <c r="AY78" s="756"/>
      <c r="AZ78" s="756"/>
      <c r="BA78" s="757"/>
      <c r="BB78" s="677"/>
      <c r="DB78" s="308"/>
    </row>
    <row r="79" spans="3:106" ht="18" customHeight="1">
      <c r="C79" s="542"/>
      <c r="D79" s="755"/>
      <c r="E79" s="756"/>
      <c r="F79" s="756"/>
      <c r="G79" s="756"/>
      <c r="H79" s="756"/>
      <c r="I79" s="756"/>
      <c r="J79" s="756"/>
      <c r="K79" s="756"/>
      <c r="L79" s="756"/>
      <c r="M79" s="756"/>
      <c r="N79" s="756"/>
      <c r="O79" s="756"/>
      <c r="P79" s="756"/>
      <c r="Q79" s="756"/>
      <c r="R79" s="756"/>
      <c r="S79" s="756"/>
      <c r="T79" s="756"/>
      <c r="U79" s="756"/>
      <c r="V79" s="756"/>
      <c r="W79" s="756"/>
      <c r="X79" s="756"/>
      <c r="Y79" s="756"/>
      <c r="Z79" s="756"/>
      <c r="AA79" s="756"/>
      <c r="AB79" s="756"/>
      <c r="AC79" s="756"/>
      <c r="AD79" s="756"/>
      <c r="AE79" s="756"/>
      <c r="AF79" s="756"/>
      <c r="AG79" s="756"/>
      <c r="AH79" s="756"/>
      <c r="AI79" s="756"/>
      <c r="AJ79" s="756"/>
      <c r="AK79" s="756"/>
      <c r="AL79" s="756"/>
      <c r="AM79" s="756"/>
      <c r="AN79" s="756"/>
      <c r="AO79" s="756"/>
      <c r="AP79" s="756"/>
      <c r="AQ79" s="756"/>
      <c r="AR79" s="756"/>
      <c r="AS79" s="756"/>
      <c r="AT79" s="756"/>
      <c r="AU79" s="756"/>
      <c r="AV79" s="756"/>
      <c r="AW79" s="756"/>
      <c r="AX79" s="756"/>
      <c r="AY79" s="756"/>
      <c r="AZ79" s="756"/>
      <c r="BA79" s="757"/>
      <c r="BB79" s="677"/>
      <c r="DB79" s="308"/>
    </row>
    <row r="80" spans="3:106" ht="18" customHeight="1">
      <c r="C80" s="542"/>
      <c r="D80" s="755"/>
      <c r="E80" s="756"/>
      <c r="F80" s="756"/>
      <c r="G80" s="756"/>
      <c r="H80" s="756"/>
      <c r="I80" s="756"/>
      <c r="J80" s="756"/>
      <c r="K80" s="756"/>
      <c r="L80" s="756"/>
      <c r="M80" s="756"/>
      <c r="N80" s="756"/>
      <c r="O80" s="756"/>
      <c r="P80" s="756"/>
      <c r="Q80" s="756"/>
      <c r="R80" s="756"/>
      <c r="S80" s="756"/>
      <c r="T80" s="756"/>
      <c r="U80" s="756"/>
      <c r="V80" s="756"/>
      <c r="W80" s="756"/>
      <c r="X80" s="756"/>
      <c r="Y80" s="756"/>
      <c r="Z80" s="756"/>
      <c r="AA80" s="756"/>
      <c r="AB80" s="756"/>
      <c r="AC80" s="756"/>
      <c r="AD80" s="756"/>
      <c r="AE80" s="756"/>
      <c r="AF80" s="756"/>
      <c r="AG80" s="756"/>
      <c r="AH80" s="756"/>
      <c r="AI80" s="756"/>
      <c r="AJ80" s="756"/>
      <c r="AK80" s="756"/>
      <c r="AL80" s="756"/>
      <c r="AM80" s="756"/>
      <c r="AN80" s="756"/>
      <c r="AO80" s="756"/>
      <c r="AP80" s="756"/>
      <c r="AQ80" s="756"/>
      <c r="AR80" s="756"/>
      <c r="AS80" s="756"/>
      <c r="AT80" s="756"/>
      <c r="AU80" s="756"/>
      <c r="AV80" s="756"/>
      <c r="AW80" s="756"/>
      <c r="AX80" s="756"/>
      <c r="AY80" s="756"/>
      <c r="AZ80" s="756"/>
      <c r="BA80" s="757"/>
      <c r="BB80" s="677"/>
      <c r="DB80" s="308"/>
    </row>
    <row r="81" spans="3:106" ht="18" customHeight="1">
      <c r="C81" s="542"/>
      <c r="D81" s="755"/>
      <c r="E81" s="756"/>
      <c r="F81" s="756"/>
      <c r="G81" s="756"/>
      <c r="H81" s="756"/>
      <c r="I81" s="756"/>
      <c r="J81" s="756"/>
      <c r="K81" s="756"/>
      <c r="L81" s="756"/>
      <c r="M81" s="756"/>
      <c r="N81" s="756"/>
      <c r="O81" s="756"/>
      <c r="P81" s="756"/>
      <c r="Q81" s="756"/>
      <c r="R81" s="756"/>
      <c r="S81" s="756"/>
      <c r="T81" s="756"/>
      <c r="U81" s="756"/>
      <c r="V81" s="756"/>
      <c r="W81" s="756"/>
      <c r="X81" s="756"/>
      <c r="Y81" s="756"/>
      <c r="Z81" s="756"/>
      <c r="AA81" s="756"/>
      <c r="AB81" s="756"/>
      <c r="AC81" s="756"/>
      <c r="AD81" s="756"/>
      <c r="AE81" s="756"/>
      <c r="AF81" s="756"/>
      <c r="AG81" s="756"/>
      <c r="AH81" s="756"/>
      <c r="AI81" s="756"/>
      <c r="AJ81" s="756"/>
      <c r="AK81" s="756"/>
      <c r="AL81" s="756"/>
      <c r="AM81" s="756"/>
      <c r="AN81" s="756"/>
      <c r="AO81" s="756"/>
      <c r="AP81" s="756"/>
      <c r="AQ81" s="756"/>
      <c r="AR81" s="756"/>
      <c r="AS81" s="756"/>
      <c r="AT81" s="756"/>
      <c r="AU81" s="756"/>
      <c r="AV81" s="756"/>
      <c r="AW81" s="756"/>
      <c r="AX81" s="756"/>
      <c r="AY81" s="756"/>
      <c r="AZ81" s="756"/>
      <c r="BA81" s="757"/>
      <c r="BB81" s="677"/>
      <c r="DB81" s="308"/>
    </row>
    <row r="82" spans="3:54" ht="18" customHeight="1">
      <c r="C82" s="542"/>
      <c r="D82" s="755"/>
      <c r="E82" s="756"/>
      <c r="F82" s="756"/>
      <c r="G82" s="756"/>
      <c r="H82" s="756"/>
      <c r="I82" s="756"/>
      <c r="J82" s="756"/>
      <c r="K82" s="756"/>
      <c r="L82" s="756"/>
      <c r="M82" s="756"/>
      <c r="N82" s="756"/>
      <c r="O82" s="756"/>
      <c r="P82" s="756"/>
      <c r="Q82" s="756"/>
      <c r="R82" s="756"/>
      <c r="S82" s="756"/>
      <c r="T82" s="756"/>
      <c r="U82" s="756"/>
      <c r="V82" s="756"/>
      <c r="W82" s="756"/>
      <c r="X82" s="756"/>
      <c r="Y82" s="756"/>
      <c r="Z82" s="756"/>
      <c r="AA82" s="756"/>
      <c r="AB82" s="756"/>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56"/>
      <c r="AY82" s="756"/>
      <c r="AZ82" s="756"/>
      <c r="BA82" s="757"/>
      <c r="BB82" s="677"/>
    </row>
    <row r="83" spans="3:54" ht="18" customHeight="1">
      <c r="C83" s="542"/>
      <c r="D83" s="755"/>
      <c r="E83" s="756"/>
      <c r="F83" s="756"/>
      <c r="G83" s="756"/>
      <c r="H83" s="756"/>
      <c r="I83" s="756"/>
      <c r="J83" s="756"/>
      <c r="K83" s="756"/>
      <c r="L83" s="756"/>
      <c r="M83" s="756"/>
      <c r="N83" s="756"/>
      <c r="O83" s="756"/>
      <c r="P83" s="756"/>
      <c r="Q83" s="756"/>
      <c r="R83" s="756"/>
      <c r="S83" s="756"/>
      <c r="T83" s="756"/>
      <c r="U83" s="756"/>
      <c r="V83" s="756"/>
      <c r="W83" s="756"/>
      <c r="X83" s="756"/>
      <c r="Y83" s="756"/>
      <c r="Z83" s="756"/>
      <c r="AA83" s="756"/>
      <c r="AB83" s="756"/>
      <c r="AC83" s="756"/>
      <c r="AD83" s="756"/>
      <c r="AE83" s="756"/>
      <c r="AF83" s="756"/>
      <c r="AG83" s="756"/>
      <c r="AH83" s="756"/>
      <c r="AI83" s="756"/>
      <c r="AJ83" s="756"/>
      <c r="AK83" s="756"/>
      <c r="AL83" s="756"/>
      <c r="AM83" s="756"/>
      <c r="AN83" s="756"/>
      <c r="AO83" s="756"/>
      <c r="AP83" s="756"/>
      <c r="AQ83" s="756"/>
      <c r="AR83" s="756"/>
      <c r="AS83" s="756"/>
      <c r="AT83" s="756"/>
      <c r="AU83" s="756"/>
      <c r="AV83" s="756"/>
      <c r="AW83" s="756"/>
      <c r="AX83" s="756"/>
      <c r="AY83" s="756"/>
      <c r="AZ83" s="756"/>
      <c r="BA83" s="757"/>
      <c r="BB83" s="677"/>
    </row>
    <row r="84" spans="2:54" ht="18" customHeight="1">
      <c r="B84" s="548"/>
      <c r="C84" s="542"/>
      <c r="D84" s="755"/>
      <c r="E84" s="756"/>
      <c r="F84" s="756"/>
      <c r="G84" s="756"/>
      <c r="H84" s="756"/>
      <c r="I84" s="756"/>
      <c r="J84" s="756"/>
      <c r="K84" s="756"/>
      <c r="L84" s="756"/>
      <c r="M84" s="756"/>
      <c r="N84" s="756"/>
      <c r="O84" s="756"/>
      <c r="P84" s="756"/>
      <c r="Q84" s="756"/>
      <c r="R84" s="756"/>
      <c r="S84" s="756"/>
      <c r="T84" s="756"/>
      <c r="U84" s="756"/>
      <c r="V84" s="756"/>
      <c r="W84" s="756"/>
      <c r="X84" s="756"/>
      <c r="Y84" s="756"/>
      <c r="Z84" s="756"/>
      <c r="AA84" s="756"/>
      <c r="AB84" s="756"/>
      <c r="AC84" s="756"/>
      <c r="AD84" s="756"/>
      <c r="AE84" s="756"/>
      <c r="AF84" s="756"/>
      <c r="AG84" s="756"/>
      <c r="AH84" s="756"/>
      <c r="AI84" s="756"/>
      <c r="AJ84" s="756"/>
      <c r="AK84" s="756"/>
      <c r="AL84" s="756"/>
      <c r="AM84" s="756"/>
      <c r="AN84" s="756"/>
      <c r="AO84" s="756"/>
      <c r="AP84" s="756"/>
      <c r="AQ84" s="756"/>
      <c r="AR84" s="756"/>
      <c r="AS84" s="756"/>
      <c r="AT84" s="756"/>
      <c r="AU84" s="756"/>
      <c r="AV84" s="756"/>
      <c r="AW84" s="756"/>
      <c r="AX84" s="756"/>
      <c r="AY84" s="756"/>
      <c r="AZ84" s="756"/>
      <c r="BA84" s="757"/>
      <c r="BB84" s="677"/>
    </row>
    <row r="85" spans="3:54" ht="18" customHeight="1">
      <c r="C85" s="542"/>
      <c r="D85" s="755"/>
      <c r="E85" s="756"/>
      <c r="F85" s="756"/>
      <c r="G85" s="756"/>
      <c r="H85" s="756"/>
      <c r="I85" s="756"/>
      <c r="J85" s="756"/>
      <c r="K85" s="756"/>
      <c r="L85" s="756"/>
      <c r="M85" s="756"/>
      <c r="N85" s="756"/>
      <c r="O85" s="756"/>
      <c r="P85" s="756"/>
      <c r="Q85" s="756"/>
      <c r="R85" s="756"/>
      <c r="S85" s="756"/>
      <c r="T85" s="756"/>
      <c r="U85" s="756"/>
      <c r="V85" s="756"/>
      <c r="W85" s="756"/>
      <c r="X85" s="756"/>
      <c r="Y85" s="756"/>
      <c r="Z85" s="756"/>
      <c r="AA85" s="756"/>
      <c r="AB85" s="756"/>
      <c r="AC85" s="756"/>
      <c r="AD85" s="756"/>
      <c r="AE85" s="756"/>
      <c r="AF85" s="756"/>
      <c r="AG85" s="756"/>
      <c r="AH85" s="756"/>
      <c r="AI85" s="756"/>
      <c r="AJ85" s="756"/>
      <c r="AK85" s="756"/>
      <c r="AL85" s="756"/>
      <c r="AM85" s="756"/>
      <c r="AN85" s="756"/>
      <c r="AO85" s="756"/>
      <c r="AP85" s="756"/>
      <c r="AQ85" s="756"/>
      <c r="AR85" s="756"/>
      <c r="AS85" s="756"/>
      <c r="AT85" s="756"/>
      <c r="AU85" s="756"/>
      <c r="AV85" s="756"/>
      <c r="AW85" s="756"/>
      <c r="AX85" s="756"/>
      <c r="AY85" s="756"/>
      <c r="AZ85" s="756"/>
      <c r="BA85" s="757"/>
      <c r="BB85" s="677"/>
    </row>
    <row r="86" spans="1:105" s="308" customFormat="1" ht="20.25" customHeight="1">
      <c r="A86" s="212"/>
      <c r="B86" s="181"/>
      <c r="C86" s="678"/>
      <c r="D86" s="670"/>
      <c r="E86" s="671"/>
      <c r="F86" s="671"/>
      <c r="G86" s="671"/>
      <c r="H86" s="671"/>
      <c r="I86" s="671"/>
      <c r="J86" s="671"/>
      <c r="K86" s="671"/>
      <c r="L86" s="671"/>
      <c r="M86" s="671"/>
      <c r="N86" s="671"/>
      <c r="O86" s="671"/>
      <c r="P86" s="671"/>
      <c r="Q86" s="671"/>
      <c r="R86" s="671"/>
      <c r="S86" s="671"/>
      <c r="T86" s="671"/>
      <c r="U86" s="671"/>
      <c r="V86" s="671"/>
      <c r="W86" s="671"/>
      <c r="X86" s="671"/>
      <c r="Y86" s="671"/>
      <c r="Z86" s="671"/>
      <c r="AA86" s="671"/>
      <c r="AB86" s="671"/>
      <c r="AC86" s="671"/>
      <c r="AD86" s="671"/>
      <c r="AE86" s="671"/>
      <c r="AF86" s="671"/>
      <c r="AG86" s="671"/>
      <c r="AH86" s="671"/>
      <c r="AI86" s="671"/>
      <c r="AJ86" s="671"/>
      <c r="AK86" s="671"/>
      <c r="AL86" s="671"/>
      <c r="AM86" s="671"/>
      <c r="AN86" s="671"/>
      <c r="AO86" s="671"/>
      <c r="AP86" s="671"/>
      <c r="AQ86" s="671"/>
      <c r="AR86" s="671"/>
      <c r="AS86" s="671"/>
      <c r="AT86" s="671"/>
      <c r="AU86" s="671"/>
      <c r="AV86" s="671"/>
      <c r="AW86" s="671"/>
      <c r="AX86" s="671"/>
      <c r="AY86" s="671"/>
      <c r="AZ86" s="671"/>
      <c r="BA86" s="672"/>
      <c r="BB86" s="677"/>
      <c r="BC86" s="418"/>
      <c r="BD86" s="418"/>
      <c r="BE86" s="418"/>
      <c r="BF86" s="418"/>
      <c r="BG86" s="418"/>
      <c r="BH86" s="418"/>
      <c r="BI86" s="418"/>
      <c r="BJ86" s="418"/>
      <c r="BK86" s="418"/>
      <c r="BL86" s="418"/>
      <c r="BM86" s="418"/>
      <c r="BN86" s="418"/>
      <c r="BO86" s="418"/>
      <c r="BP86" s="418"/>
      <c r="BQ86" s="418"/>
      <c r="BR86" s="418"/>
      <c r="BS86" s="418"/>
      <c r="BT86" s="418"/>
      <c r="BU86" s="418"/>
      <c r="BV86" s="418"/>
      <c r="BW86" s="418"/>
      <c r="BX86" s="418"/>
      <c r="BY86" s="418"/>
      <c r="BZ86" s="418"/>
      <c r="CA86" s="418"/>
      <c r="CB86" s="418"/>
      <c r="CC86" s="418"/>
      <c r="CD86" s="418"/>
      <c r="CE86" s="418"/>
      <c r="CF86" s="418"/>
      <c r="CG86" s="418"/>
      <c r="CH86" s="418"/>
      <c r="CI86" s="418"/>
      <c r="CJ86" s="418"/>
      <c r="CK86" s="418"/>
      <c r="CL86" s="418"/>
      <c r="CM86" s="418"/>
      <c r="CN86" s="418"/>
      <c r="CO86" s="418"/>
      <c r="CP86" s="418"/>
      <c r="CQ86" s="418"/>
      <c r="CR86" s="418"/>
      <c r="CS86" s="418"/>
      <c r="CT86" s="418"/>
      <c r="CU86" s="418"/>
      <c r="CV86" s="418"/>
      <c r="CW86" s="418"/>
      <c r="CX86" s="418"/>
      <c r="CY86" s="418"/>
      <c r="CZ86" s="418"/>
      <c r="DA86" s="418"/>
    </row>
    <row r="87" spans="1:105" s="308" customFormat="1" ht="15" customHeight="1">
      <c r="A87" s="212"/>
      <c r="B87" s="181"/>
      <c r="C87" s="580"/>
      <c r="D87" s="564"/>
      <c r="E87" s="564"/>
      <c r="F87" s="564"/>
      <c r="G87" s="564"/>
      <c r="H87" s="564"/>
      <c r="I87" s="564"/>
      <c r="J87" s="564"/>
      <c r="K87" s="564"/>
      <c r="L87" s="564"/>
      <c r="M87" s="564"/>
      <c r="N87" s="564"/>
      <c r="O87" s="564"/>
      <c r="P87" s="564"/>
      <c r="Q87" s="564"/>
      <c r="R87" s="564"/>
      <c r="S87" s="564"/>
      <c r="T87" s="564"/>
      <c r="U87" s="564"/>
      <c r="V87" s="564"/>
      <c r="W87" s="564"/>
      <c r="X87" s="564"/>
      <c r="Y87" s="564"/>
      <c r="Z87" s="564"/>
      <c r="AA87" s="564"/>
      <c r="AB87" s="564"/>
      <c r="AC87" s="564"/>
      <c r="AD87" s="564"/>
      <c r="AE87" s="564"/>
      <c r="AF87" s="564"/>
      <c r="AG87" s="564"/>
      <c r="AH87" s="564"/>
      <c r="AI87" s="564"/>
      <c r="AJ87" s="564"/>
      <c r="AK87" s="564"/>
      <c r="AL87" s="564"/>
      <c r="AM87" s="564"/>
      <c r="AN87" s="564"/>
      <c r="AO87" s="564"/>
      <c r="AP87" s="564"/>
      <c r="AQ87" s="564"/>
      <c r="AR87" s="564"/>
      <c r="AS87" s="564"/>
      <c r="AT87" s="564"/>
      <c r="AU87" s="564"/>
      <c r="AV87" s="564"/>
      <c r="AW87" s="564"/>
      <c r="AX87" s="564"/>
      <c r="AY87" s="564"/>
      <c r="AZ87" s="564"/>
      <c r="BA87" s="564"/>
      <c r="BB87" s="564"/>
      <c r="BC87" s="418"/>
      <c r="BD87" s="418"/>
      <c r="BE87" s="418"/>
      <c r="BF87" s="418"/>
      <c r="BG87" s="418"/>
      <c r="BH87" s="418"/>
      <c r="BI87" s="418"/>
      <c r="BJ87" s="418"/>
      <c r="BK87" s="418"/>
      <c r="BL87" s="418"/>
      <c r="BM87" s="418"/>
      <c r="BN87" s="418"/>
      <c r="BO87" s="418"/>
      <c r="BP87" s="418"/>
      <c r="BQ87" s="418"/>
      <c r="BR87" s="418"/>
      <c r="BS87" s="418"/>
      <c r="BT87" s="418"/>
      <c r="BU87" s="418"/>
      <c r="BV87" s="418"/>
      <c r="BW87" s="418"/>
      <c r="BX87" s="418"/>
      <c r="BY87" s="418"/>
      <c r="BZ87" s="418"/>
      <c r="CA87" s="418"/>
      <c r="CB87" s="418"/>
      <c r="CC87" s="418"/>
      <c r="CD87" s="418"/>
      <c r="CE87" s="418"/>
      <c r="CF87" s="418"/>
      <c r="CG87" s="418"/>
      <c r="CH87" s="418"/>
      <c r="CI87" s="418"/>
      <c r="CJ87" s="418"/>
      <c r="CK87" s="418"/>
      <c r="CL87" s="418"/>
      <c r="CM87" s="418"/>
      <c r="CN87" s="418"/>
      <c r="CO87" s="418"/>
      <c r="CP87" s="418"/>
      <c r="CQ87" s="418"/>
      <c r="CR87" s="418"/>
      <c r="CS87" s="418"/>
      <c r="CT87" s="418"/>
      <c r="CU87" s="418"/>
      <c r="CV87" s="418"/>
      <c r="CW87" s="418"/>
      <c r="CX87" s="418"/>
      <c r="CY87" s="418"/>
      <c r="CZ87" s="418"/>
      <c r="DA87" s="418"/>
    </row>
    <row r="88" spans="1:105" s="308" customFormat="1" ht="10.5" customHeight="1">
      <c r="A88" s="212"/>
      <c r="B88" s="181"/>
      <c r="C88" s="580"/>
      <c r="D88" s="566"/>
      <c r="E88" s="565"/>
      <c r="F88" s="565"/>
      <c r="G88" s="565"/>
      <c r="H88" s="565"/>
      <c r="I88" s="565"/>
      <c r="J88" s="565"/>
      <c r="K88" s="565"/>
      <c r="L88" s="565"/>
      <c r="M88" s="565"/>
      <c r="N88" s="565"/>
      <c r="O88" s="565"/>
      <c r="P88" s="565"/>
      <c r="Q88" s="565"/>
      <c r="R88" s="565"/>
      <c r="S88" s="565"/>
      <c r="T88" s="565"/>
      <c r="U88" s="565"/>
      <c r="V88" s="565"/>
      <c r="W88" s="565"/>
      <c r="X88" s="565"/>
      <c r="Y88" s="565"/>
      <c r="Z88" s="565"/>
      <c r="AA88" s="565"/>
      <c r="AB88" s="565"/>
      <c r="AC88" s="565"/>
      <c r="AD88" s="565"/>
      <c r="AE88" s="565"/>
      <c r="AF88" s="565"/>
      <c r="AG88" s="565"/>
      <c r="AH88" s="565"/>
      <c r="AI88" s="565"/>
      <c r="AJ88" s="565"/>
      <c r="AK88" s="565"/>
      <c r="AL88" s="565"/>
      <c r="AM88" s="565"/>
      <c r="AN88" s="565"/>
      <c r="AO88" s="565"/>
      <c r="AP88" s="565"/>
      <c r="AQ88" s="565"/>
      <c r="AR88" s="565"/>
      <c r="AS88" s="565"/>
      <c r="AT88" s="565"/>
      <c r="AU88" s="565"/>
      <c r="AV88" s="565"/>
      <c r="AW88" s="565"/>
      <c r="AX88" s="565"/>
      <c r="AY88" s="565"/>
      <c r="AZ88" s="565"/>
      <c r="BA88" s="565"/>
      <c r="BB88" s="564"/>
      <c r="BC88" s="418"/>
      <c r="BD88" s="418"/>
      <c r="BE88" s="418"/>
      <c r="BF88" s="418"/>
      <c r="BG88" s="418"/>
      <c r="BH88" s="418"/>
      <c r="BI88" s="418"/>
      <c r="BJ88" s="418"/>
      <c r="BK88" s="418"/>
      <c r="BL88" s="418"/>
      <c r="BM88" s="418"/>
      <c r="BN88" s="418"/>
      <c r="BO88" s="418"/>
      <c r="BP88" s="418"/>
      <c r="BQ88" s="418"/>
      <c r="BR88" s="418"/>
      <c r="BS88" s="418"/>
      <c r="BT88" s="418"/>
      <c r="BU88" s="418"/>
      <c r="BV88" s="418"/>
      <c r="BW88" s="418"/>
      <c r="BX88" s="418"/>
      <c r="BY88" s="418"/>
      <c r="BZ88" s="418"/>
      <c r="CA88" s="418"/>
      <c r="CB88" s="418"/>
      <c r="CC88" s="418"/>
      <c r="CD88" s="418"/>
      <c r="CE88" s="418"/>
      <c r="CF88" s="418"/>
      <c r="CG88" s="418"/>
      <c r="CH88" s="418"/>
      <c r="CI88" s="418"/>
      <c r="CJ88" s="418"/>
      <c r="CK88" s="418"/>
      <c r="CL88" s="418"/>
      <c r="CM88" s="418"/>
      <c r="CN88" s="418"/>
      <c r="CO88" s="418"/>
      <c r="CP88" s="418"/>
      <c r="CQ88" s="418"/>
      <c r="CR88" s="418"/>
      <c r="CS88" s="418"/>
      <c r="CT88" s="418"/>
      <c r="CU88" s="418"/>
      <c r="CV88" s="418"/>
      <c r="CW88" s="418"/>
      <c r="CX88" s="418"/>
      <c r="CY88" s="418"/>
      <c r="CZ88" s="418"/>
      <c r="DA88" s="418"/>
    </row>
    <row r="89" spans="3:105" ht="16.5" customHeight="1">
      <c r="C89" s="396"/>
      <c r="E89" s="272"/>
      <c r="F89" s="272"/>
      <c r="G89" s="272"/>
      <c r="H89" s="272"/>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2"/>
      <c r="BA89" s="272"/>
      <c r="BB89" s="296"/>
      <c r="BD89" s="418"/>
      <c r="BE89" s="418"/>
      <c r="BF89" s="418"/>
      <c r="BG89" s="418"/>
      <c r="BH89" s="418"/>
      <c r="BI89" s="418"/>
      <c r="BJ89" s="418"/>
      <c r="BK89" s="418"/>
      <c r="BL89" s="418"/>
      <c r="BM89" s="418"/>
      <c r="BN89" s="418"/>
      <c r="BO89" s="418"/>
      <c r="BP89" s="418"/>
      <c r="BQ89" s="418"/>
      <c r="BR89" s="418"/>
      <c r="BS89" s="418"/>
      <c r="BT89" s="418"/>
      <c r="BU89" s="418"/>
      <c r="BV89" s="418"/>
      <c r="BW89" s="418"/>
      <c r="BX89" s="418"/>
      <c r="BY89" s="418"/>
      <c r="BZ89" s="418"/>
      <c r="CA89" s="418"/>
      <c r="CB89" s="418"/>
      <c r="CC89" s="418"/>
      <c r="CD89" s="418"/>
      <c r="CE89" s="418"/>
      <c r="CF89" s="418"/>
      <c r="CG89" s="418"/>
      <c r="CH89" s="418"/>
      <c r="CI89" s="418"/>
      <c r="CJ89" s="418"/>
      <c r="CK89" s="418"/>
      <c r="CL89" s="418"/>
      <c r="CM89" s="418"/>
      <c r="CN89" s="418"/>
      <c r="CO89" s="418"/>
      <c r="CP89" s="418"/>
      <c r="CQ89" s="418"/>
      <c r="CR89" s="418"/>
      <c r="CS89" s="418"/>
      <c r="CT89" s="418"/>
      <c r="CU89" s="418"/>
      <c r="CV89" s="418"/>
      <c r="CW89" s="418"/>
      <c r="CX89" s="418"/>
      <c r="CY89" s="418"/>
      <c r="CZ89" s="418"/>
      <c r="DA89" s="418"/>
    </row>
    <row r="90" spans="3:54" ht="24" customHeight="1">
      <c r="C90" s="396"/>
      <c r="D90" s="193"/>
      <c r="E90" s="193"/>
      <c r="F90" s="193"/>
      <c r="G90" s="193"/>
      <c r="H90" s="193"/>
      <c r="I90" s="193"/>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193"/>
      <c r="AP90" s="193"/>
      <c r="AQ90" s="193"/>
      <c r="AR90" s="193"/>
      <c r="AS90" s="193"/>
      <c r="AT90" s="193"/>
      <c r="AU90" s="193"/>
      <c r="AV90" s="193"/>
      <c r="AW90" s="193"/>
      <c r="AX90" s="193"/>
      <c r="AY90" s="193"/>
      <c r="AZ90" s="193"/>
      <c r="BA90" s="193"/>
      <c r="BB90" s="209"/>
    </row>
    <row r="91" spans="3:54" ht="9.75" customHeight="1">
      <c r="C91" s="396"/>
      <c r="D91" s="193"/>
      <c r="E91" s="193"/>
      <c r="F91" s="193"/>
      <c r="G91" s="193"/>
      <c r="H91" s="193"/>
      <c r="I91" s="193"/>
      <c r="J91" s="193"/>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193"/>
      <c r="AP91" s="193"/>
      <c r="AQ91" s="193"/>
      <c r="AR91" s="193"/>
      <c r="AS91" s="193"/>
      <c r="AT91" s="193"/>
      <c r="AU91" s="193"/>
      <c r="AV91" s="193"/>
      <c r="AW91" s="193"/>
      <c r="AX91" s="193"/>
      <c r="AY91" s="193"/>
      <c r="AZ91" s="193"/>
      <c r="BA91" s="193"/>
      <c r="BB91" s="209"/>
    </row>
    <row r="92" spans="3:54" ht="16.5" customHeight="1">
      <c r="C92" s="396"/>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209"/>
    </row>
    <row r="93" ht="26.25" customHeight="1"/>
    <row r="94" spans="3:39" ht="12.75" customHeight="1">
      <c r="C94" s="414"/>
      <c r="D94" s="414"/>
      <c r="E94" s="414"/>
      <c r="F94" s="414"/>
      <c r="G94" s="336"/>
      <c r="H94" s="341"/>
      <c r="I94" s="419"/>
      <c r="J94" s="341"/>
      <c r="K94" s="419"/>
      <c r="L94" s="341"/>
      <c r="M94" s="419"/>
      <c r="N94" s="341"/>
      <c r="O94" s="419"/>
      <c r="P94" s="341"/>
      <c r="Q94" s="419"/>
      <c r="R94" s="341"/>
      <c r="S94" s="419"/>
      <c r="T94" s="341"/>
      <c r="U94" s="419"/>
      <c r="V94" s="341"/>
      <c r="W94" s="336"/>
      <c r="X94" s="341"/>
      <c r="Y94" s="336"/>
      <c r="Z94" s="341"/>
      <c r="AA94" s="336"/>
      <c r="AB94" s="341"/>
      <c r="AC94" s="336"/>
      <c r="AD94" s="341"/>
      <c r="AE94" s="336"/>
      <c r="AF94" s="341"/>
      <c r="AG94" s="336"/>
      <c r="AH94" s="341"/>
      <c r="AI94" s="419"/>
      <c r="AJ94" s="341"/>
      <c r="AK94" s="336"/>
      <c r="AL94" s="341"/>
      <c r="AM94" s="336"/>
    </row>
    <row r="95" ht="24" customHeight="1"/>
    <row r="97" ht="26.25" customHeight="1"/>
    <row r="99" ht="27.75" customHeight="1"/>
    <row r="101" ht="19.5" customHeight="1"/>
    <row r="103" ht="16.5" customHeight="1"/>
    <row r="104" spans="1:2" ht="12.75">
      <c r="A104" s="420"/>
      <c r="B104" s="421"/>
    </row>
    <row r="105" spans="1:2" ht="12.75">
      <c r="A105" s="420"/>
      <c r="B105" s="421"/>
    </row>
    <row r="106" spans="1:2" ht="12.75">
      <c r="A106" s="420"/>
      <c r="B106" s="421"/>
    </row>
  </sheetData>
  <sheetProtection sheet="1" objects="1" scenarios="1" formatCells="0" formatColumns="0" formatRows="0" insertColumns="0"/>
  <mergeCells count="51">
    <mergeCell ref="C5:AM5"/>
    <mergeCell ref="D43:BB43"/>
    <mergeCell ref="D44:BB44"/>
    <mergeCell ref="D40:BB40"/>
    <mergeCell ref="D41:BB41"/>
    <mergeCell ref="E45:H45"/>
    <mergeCell ref="F58:H60"/>
    <mergeCell ref="D42:BB42"/>
    <mergeCell ref="AQ51:BA51"/>
    <mergeCell ref="AA61:AJ61"/>
    <mergeCell ref="AQ46:BA46"/>
    <mergeCell ref="N59:P60"/>
    <mergeCell ref="AQ45:AZ45"/>
    <mergeCell ref="F47:H48"/>
    <mergeCell ref="F51:H51"/>
    <mergeCell ref="AK47:AM52"/>
    <mergeCell ref="Q49:S57"/>
    <mergeCell ref="AA49:AJ49"/>
    <mergeCell ref="AQ48:BA49"/>
    <mergeCell ref="AQ59:BA59"/>
    <mergeCell ref="AA51:AJ51"/>
    <mergeCell ref="AB58:AJ58"/>
    <mergeCell ref="AA57:AJ57"/>
    <mergeCell ref="AA55:AJ55"/>
    <mergeCell ref="U48:V49"/>
    <mergeCell ref="D65:BA65"/>
    <mergeCell ref="D66:BA66"/>
    <mergeCell ref="D67:BA67"/>
    <mergeCell ref="D68:BA68"/>
    <mergeCell ref="D69:BA69"/>
    <mergeCell ref="L49:N57"/>
    <mergeCell ref="AA53:AJ53"/>
    <mergeCell ref="AA59:AJ59"/>
    <mergeCell ref="AQ57:BA57"/>
    <mergeCell ref="AN49:AO50"/>
    <mergeCell ref="D70:BA70"/>
    <mergeCell ref="D71:BA71"/>
    <mergeCell ref="D72:BA72"/>
    <mergeCell ref="D73:BA73"/>
    <mergeCell ref="D74:BA74"/>
    <mergeCell ref="D75:BA75"/>
    <mergeCell ref="D82:BA82"/>
    <mergeCell ref="D83:BA83"/>
    <mergeCell ref="D84:BA84"/>
    <mergeCell ref="D85:BA85"/>
    <mergeCell ref="D76:BA76"/>
    <mergeCell ref="D77:BA77"/>
    <mergeCell ref="D78:BA78"/>
    <mergeCell ref="D79:BA79"/>
    <mergeCell ref="D80:BA80"/>
    <mergeCell ref="D81:BA81"/>
  </mergeCells>
  <conditionalFormatting sqref="BB28:BC28">
    <cfRule type="cellIs" priority="445" dxfId="211" operator="lessThan" stopIfTrue="1">
      <formula>BB26-BB27-(0.01*(BB26-BB27))</formula>
    </cfRule>
  </conditionalFormatting>
  <conditionalFormatting sqref="F10">
    <cfRule type="cellIs" priority="86" dxfId="211" operator="lessThan" stopIfTrue="1">
      <formula>F8+F9-(0.01*(F8+F9))</formula>
    </cfRule>
  </conditionalFormatting>
  <conditionalFormatting sqref="H10">
    <cfRule type="cellIs" priority="85" dxfId="211" operator="lessThan" stopIfTrue="1">
      <formula>H8+H9-(0.01*(H8+H9))</formula>
    </cfRule>
  </conditionalFormatting>
  <conditionalFormatting sqref="J10">
    <cfRule type="cellIs" priority="84" dxfId="211" operator="lessThan" stopIfTrue="1">
      <formula>J8+J9-(0.01*(J8+J9))</formula>
    </cfRule>
  </conditionalFormatting>
  <conditionalFormatting sqref="L10">
    <cfRule type="cellIs" priority="83" dxfId="211" operator="lessThan" stopIfTrue="1">
      <formula>L8+L9-(0.01*(L8+L9))</formula>
    </cfRule>
  </conditionalFormatting>
  <conditionalFormatting sqref="P10">
    <cfRule type="cellIs" priority="82" dxfId="211" operator="lessThan" stopIfTrue="1">
      <formula>P8+P9-(0.01*(P8+P9))</formula>
    </cfRule>
  </conditionalFormatting>
  <conditionalFormatting sqref="R10">
    <cfRule type="cellIs" priority="81" dxfId="211" operator="lessThan" stopIfTrue="1">
      <formula>R8+R9-(0.01*(R8+R9))</formula>
    </cfRule>
  </conditionalFormatting>
  <conditionalFormatting sqref="T10">
    <cfRule type="cellIs" priority="80" dxfId="211" operator="lessThan" stopIfTrue="1">
      <formula>T8+T9-(0.01*(T8+T9))</formula>
    </cfRule>
  </conditionalFormatting>
  <conditionalFormatting sqref="V10">
    <cfRule type="cellIs" priority="79" dxfId="211" operator="lessThan" stopIfTrue="1">
      <formula>V8+V9-(0.01*(V8+V9))</formula>
    </cfRule>
  </conditionalFormatting>
  <conditionalFormatting sqref="X10">
    <cfRule type="cellIs" priority="78" dxfId="211" operator="lessThan" stopIfTrue="1">
      <formula>X8+X9-(0.01*(X8+X9))</formula>
    </cfRule>
  </conditionalFormatting>
  <conditionalFormatting sqref="Z10">
    <cfRule type="cellIs" priority="77" dxfId="211" operator="lessThan" stopIfTrue="1">
      <formula>Z8+Z9-(0.01*(Z8+Z9))</formula>
    </cfRule>
  </conditionalFormatting>
  <conditionalFormatting sqref="AB10">
    <cfRule type="cellIs" priority="76" dxfId="211" operator="lessThan" stopIfTrue="1">
      <formula>AB8+AB9-(0.01*(AB8+AB9))</formula>
    </cfRule>
  </conditionalFormatting>
  <conditionalFormatting sqref="AD10">
    <cfRule type="cellIs" priority="75" dxfId="211" operator="lessThan" stopIfTrue="1">
      <formula>AD8+AD9-(0.01*(AD8+AD9))</formula>
    </cfRule>
  </conditionalFormatting>
  <conditionalFormatting sqref="AJ10">
    <cfRule type="cellIs" priority="73" dxfId="211" operator="lessThan" stopIfTrue="1">
      <formula>AJ8+AJ9-(0.01*(AJ8+AJ9))</formula>
    </cfRule>
  </conditionalFormatting>
  <conditionalFormatting sqref="AH10">
    <cfRule type="cellIs" priority="74" dxfId="211" operator="lessThan" stopIfTrue="1">
      <formula>AH8+AH9-(0.01*(AH8+AH9))</formula>
    </cfRule>
  </conditionalFormatting>
  <conditionalFormatting sqref="AL10">
    <cfRule type="cellIs" priority="72" dxfId="211" operator="lessThan" stopIfTrue="1">
      <formula>AL8+AL9-(0.01*(AL8+AL9))</formula>
    </cfRule>
  </conditionalFormatting>
  <conditionalFormatting sqref="AN10">
    <cfRule type="cellIs" priority="71" dxfId="211" operator="lessThan" stopIfTrue="1">
      <formula>AN8+AN9-(0.01*(AN8+AN9))</formula>
    </cfRule>
  </conditionalFormatting>
  <conditionalFormatting sqref="AP10">
    <cfRule type="cellIs" priority="70" dxfId="211" operator="lessThan" stopIfTrue="1">
      <formula>AP8+AP9-(0.01*(AP8+AP9))</formula>
    </cfRule>
  </conditionalFormatting>
  <conditionalFormatting sqref="AR10">
    <cfRule type="cellIs" priority="69" dxfId="211" operator="lessThan" stopIfTrue="1">
      <formula>AR8+AR9-(0.01*(AR8+AR9))</formula>
    </cfRule>
  </conditionalFormatting>
  <conditionalFormatting sqref="AT10">
    <cfRule type="cellIs" priority="68" dxfId="211" operator="lessThan" stopIfTrue="1">
      <formula>AT8+AT9-(0.01*(AT8+AT9))</formula>
    </cfRule>
  </conditionalFormatting>
  <conditionalFormatting sqref="AZ10">
    <cfRule type="cellIs" priority="67" dxfId="211" operator="lessThan" stopIfTrue="1">
      <formula>AZ8+AZ9-(0.01*(AZ8+AZ9))</formula>
    </cfRule>
  </conditionalFormatting>
  <conditionalFormatting sqref="AF10">
    <cfRule type="cellIs" priority="66" dxfId="211" operator="lessThan" stopIfTrue="1">
      <formula>AF8+AF9-(0.01*(AF8+AF9))</formula>
    </cfRule>
  </conditionalFormatting>
  <conditionalFormatting sqref="N10">
    <cfRule type="cellIs" priority="65" dxfId="211" operator="lessThan" stopIfTrue="1">
      <formula>N8+N9-(0.01*(N8+N9))</formula>
    </cfRule>
  </conditionalFormatting>
  <conditionalFormatting sqref="AV10">
    <cfRule type="cellIs" priority="64" dxfId="211" operator="lessThan" stopIfTrue="1">
      <formula>AV8+AV9-(0.01*(AV8+AV9))</formula>
    </cfRule>
  </conditionalFormatting>
  <conditionalFormatting sqref="AX10">
    <cfRule type="cellIs" priority="63" dxfId="211" operator="lessThan" stopIfTrue="1">
      <formula>AX8+AX9-(0.01*(AX8+AX9))</formula>
    </cfRule>
  </conditionalFormatting>
  <conditionalFormatting sqref="F28">
    <cfRule type="cellIs" priority="61" dxfId="211" operator="lessThan" stopIfTrue="1">
      <formula>0.99*(F26-F27)</formula>
    </cfRule>
  </conditionalFormatting>
  <conditionalFormatting sqref="F26">
    <cfRule type="cellIs" priority="62" dxfId="211" operator="lessThan" stopIfTrue="1">
      <formula>F10+F22+F23+F24-F25-(0.01*(F10+F22+F23+F24-F25))</formula>
    </cfRule>
  </conditionalFormatting>
  <conditionalFormatting sqref="H28 J28 L28 N28 P28 R28 T28 V28 X28 Z28 AB28 AD28 AF28 AH28 AJ28 AL28 AN28 AP28 AR28 AT28 AV28 AX28 AZ28">
    <cfRule type="cellIs" priority="59" dxfId="211" operator="lessThan" stopIfTrue="1">
      <formula>0.99*(H26-H27)</formula>
    </cfRule>
  </conditionalFormatting>
  <conditionalFormatting sqref="H26 J26 L26 N26 P26 R26 T26 V26 X26 Z26 AB26 AD26 AF26 AH26 AJ26 AL26 AN26 AP26 AR26 AT26 AV26 AX26 AZ26">
    <cfRule type="cellIs" priority="60" dxfId="211" operator="lessThan" stopIfTrue="1">
      <formula>0.99*(H10+H22+H23+H24-H25)</formula>
    </cfRule>
  </conditionalFormatting>
  <conditionalFormatting sqref="BG27">
    <cfRule type="cellIs" priority="2" dxfId="211" operator="lessThan" stopIfTrue="1">
      <formula>#REF!+#REF!</formula>
    </cfRule>
    <cfRule type="cellIs" priority="3" dxfId="211" operator="lessThan" stopIfTrue="1">
      <formula>#REF!+BG30+BG31+BG32+BG34+#REF!</formula>
    </cfRule>
  </conditionalFormatting>
  <conditionalFormatting sqref="BG21">
    <cfRule type="cellIs" priority="4" dxfId="211" operator="lessThan" stopIfTrue="1">
      <formula>#REF!+#REF!</formula>
    </cfRule>
    <cfRule type="cellIs" priority="5" dxfId="211" operator="lessThan" stopIfTrue="1">
      <formula>BG23+BG24+BG25+BG26+#REF!+#REF!</formula>
    </cfRule>
  </conditionalFormatting>
  <conditionalFormatting sqref="BG22">
    <cfRule type="cellIs" priority="6" dxfId="211" operator="lessThan" stopIfTrue="1">
      <formula>#REF!+#REF!</formula>
    </cfRule>
    <cfRule type="cellIs" priority="7" dxfId="211" operator="lessThan" stopIfTrue="1">
      <formula>BG24+BG25+BG26+#REF!+#REF!+#REF!</formula>
    </cfRule>
  </conditionalFormatting>
  <conditionalFormatting sqref="BG8">
    <cfRule type="cellIs" priority="8" dxfId="211" operator="lessThan" stopIfTrue="1">
      <formula>#REF!+#REF!</formula>
    </cfRule>
    <cfRule type="cellIs" priority="9" dxfId="211" operator="lessThan" stopIfTrue="1">
      <formula>BG10+BG11+BG12+BG13+BG14+BG17</formula>
    </cfRule>
  </conditionalFormatting>
  <conditionalFormatting sqref="BG13">
    <cfRule type="cellIs" priority="10" dxfId="211" operator="lessThan" stopIfTrue="1">
      <formula>BG34+#REF!</formula>
    </cfRule>
    <cfRule type="cellIs" priority="11" dxfId="211" operator="lessThan" stopIfTrue="1">
      <formula>BG17+#REF!+#REF!+#REF!+#REF!+#REF!</formula>
    </cfRule>
  </conditionalFormatting>
  <conditionalFormatting sqref="BG12">
    <cfRule type="cellIs" priority="12" dxfId="211" operator="lessThan" stopIfTrue="1">
      <formula>BG31+#REF!</formula>
    </cfRule>
    <cfRule type="cellIs" priority="13" dxfId="211" operator="lessThan" stopIfTrue="1">
      <formula>BG14+BG17+#REF!+#REF!+#REF!+#REF!</formula>
    </cfRule>
  </conditionalFormatting>
  <conditionalFormatting sqref="BG36:BG37">
    <cfRule type="cellIs" priority="14" dxfId="211" operator="lessThan" stopIfTrue="1">
      <formula>#REF!+BG45</formula>
    </cfRule>
    <cfRule type="cellIs" priority="15" dxfId="211" operator="lessThan" stopIfTrue="1">
      <formula>#REF!+#REF!+#REF!+#REF!+#REF!+#REF!</formula>
    </cfRule>
  </conditionalFormatting>
  <conditionalFormatting sqref="BG38">
    <cfRule type="cellIs" priority="16" dxfId="211" operator="lessThan" stopIfTrue="1">
      <formula>#REF!+BG47</formula>
    </cfRule>
    <cfRule type="cellIs" priority="17" dxfId="211" operator="lessThan" stopIfTrue="1">
      <formula>#REF!+#REF!+#REF!+#REF!+#REF!+#REF!</formula>
    </cfRule>
  </conditionalFormatting>
  <conditionalFormatting sqref="BG53:DA53 BG50:DA50 BG44:DA44 BG47:DA47">
    <cfRule type="cellIs" priority="18" dxfId="211" operator="equal" stopIfTrue="1">
      <formula>"&lt;&gt;"</formula>
    </cfRule>
  </conditionalFormatting>
  <conditionalFormatting sqref="BX30:BY30 BY8:BY29 DA8:DA38 BY31:BY38 BU8:BU38 CS8:CS38 CQ8:CQ38 CO8:CO38 CM8:CM38 CK8:CK38 CI8:CI38 CG8:CG38 CE8:CE38 CC8:CC38 CA8:CA38 BW8:BW38 BS8:BS38 CU8:CU38 BK8:BK38 BM8:BM38 BO8:BO38 BQ8:BQ38">
    <cfRule type="cellIs" priority="19" dxfId="211" operator="equal" stopIfTrue="1">
      <formula>"&gt; 25%"</formula>
    </cfRule>
  </conditionalFormatting>
  <conditionalFormatting sqref="BI8:BI38">
    <cfRule type="cellIs" priority="20" dxfId="211" operator="equal" stopIfTrue="1">
      <formula>"&gt; 100%"</formula>
    </cfRule>
  </conditionalFormatting>
  <conditionalFormatting sqref="BG31">
    <cfRule type="cellIs" priority="21" dxfId="211" operator="lessThan" stopIfTrue="1">
      <formula>#REF!+#REF!</formula>
    </cfRule>
    <cfRule type="cellIs" priority="22" dxfId="211" operator="lessThan" stopIfTrue="1">
      <formula>BG34+#REF!+#REF!+#REF!+#REF!+#REF!</formula>
    </cfRule>
  </conditionalFormatting>
  <conditionalFormatting sqref="BG30">
    <cfRule type="cellIs" priority="23" dxfId="211" operator="lessThan" stopIfTrue="1">
      <formula>#REF!+#REF!</formula>
    </cfRule>
    <cfRule type="cellIs" priority="24" dxfId="211" operator="lessThan" stopIfTrue="1">
      <formula>BG32+BG34+#REF!+#REF!+#REF!+#REF!</formula>
    </cfRule>
  </conditionalFormatting>
  <conditionalFormatting sqref="BG32:BG33">
    <cfRule type="cellIs" priority="25" dxfId="211" operator="lessThan" stopIfTrue="1">
      <formula>#REF!+#REF!</formula>
    </cfRule>
    <cfRule type="cellIs" priority="26" dxfId="211" operator="lessThan" stopIfTrue="1">
      <formula>#REF!+#REF!+#REF!+#REF!+#REF!+#REF!</formula>
    </cfRule>
  </conditionalFormatting>
  <conditionalFormatting sqref="BG34:BG35">
    <cfRule type="cellIs" priority="27" dxfId="211" operator="lessThan" stopIfTrue="1">
      <formula>#REF!+BG44</formula>
    </cfRule>
    <cfRule type="cellIs" priority="28" dxfId="211" operator="lessThan" stopIfTrue="1">
      <formula>BG38+#REF!+#REF!+#REF!+#REF!+#REF!</formula>
    </cfRule>
  </conditionalFormatting>
  <conditionalFormatting sqref="BG25">
    <cfRule type="cellIs" priority="29" dxfId="211" operator="lessThan" stopIfTrue="1">
      <formula>BG43+#REF!</formula>
    </cfRule>
    <cfRule type="cellIs" priority="30" dxfId="211" operator="lessThan" stopIfTrue="1">
      <formula>#REF!+#REF!+#REF!+#REF!+#REF!+BG40</formula>
    </cfRule>
  </conditionalFormatting>
  <conditionalFormatting sqref="BG26">
    <cfRule type="cellIs" priority="31" dxfId="211" operator="lessThan" stopIfTrue="1">
      <formula>BG44+#REF!</formula>
    </cfRule>
    <cfRule type="cellIs" priority="32" dxfId="211" operator="lessThan" stopIfTrue="1">
      <formula>#REF!+#REF!+#REF!+#REF!+BG40+BG42</formula>
    </cfRule>
  </conditionalFormatting>
  <conditionalFormatting sqref="BG24">
    <cfRule type="cellIs" priority="33" dxfId="211" operator="lessThan" stopIfTrue="1">
      <formula>BG42+#REF!</formula>
    </cfRule>
    <cfRule type="cellIs" priority="34" dxfId="211" operator="lessThan" stopIfTrue="1">
      <formula>BG26+#REF!+#REF!+#REF!+#REF!+#REF!</formula>
    </cfRule>
  </conditionalFormatting>
  <conditionalFormatting sqref="BG23">
    <cfRule type="cellIs" priority="35" dxfId="211" operator="lessThan" stopIfTrue="1">
      <formula>BG40+#REF!</formula>
    </cfRule>
    <cfRule type="cellIs" priority="36" dxfId="211" operator="lessThan" stopIfTrue="1">
      <formula>BG25+BG26+#REF!+#REF!+#REF!+#REF!</formula>
    </cfRule>
  </conditionalFormatting>
  <conditionalFormatting sqref="CW8:CW38 CY8:CY38">
    <cfRule type="cellIs" priority="1" dxfId="211" operator="equal" stopIfTrue="1">
      <formula>"&gt; 25%"</formula>
    </cfRule>
  </conditionalFormatting>
  <conditionalFormatting sqref="BG9">
    <cfRule type="cellIs" priority="37" dxfId="211" operator="lessThan" stopIfTrue="1">
      <formula>#REF!+#REF!</formula>
    </cfRule>
    <cfRule type="cellIs" priority="38" dxfId="211" operator="lessThan" stopIfTrue="1">
      <formula>#REF!+BG12+BG13+BG14+BG17+#REF!</formula>
    </cfRule>
  </conditionalFormatting>
  <conditionalFormatting sqref="BG10">
    <cfRule type="cellIs" priority="39" dxfId="211" operator="lessThan" stopIfTrue="1">
      <formula>#REF!+#REF!</formula>
    </cfRule>
    <cfRule type="cellIs" priority="40" dxfId="211" operator="lessThan" stopIfTrue="1">
      <formula>BG12+BG13+BG14+BG17+#REF!+#REF!</formula>
    </cfRule>
  </conditionalFormatting>
  <conditionalFormatting sqref="BG11">
    <cfRule type="cellIs" priority="41" dxfId="211" operator="lessThan" stopIfTrue="1">
      <formula>#REF!+#REF!</formula>
    </cfRule>
    <cfRule type="cellIs" priority="42" dxfId="211" operator="lessThan" stopIfTrue="1">
      <formula>BG13+BG14+BG17+#REF!+#REF!+#REF!</formula>
    </cfRule>
  </conditionalFormatting>
  <conditionalFormatting sqref="BG19:BG20">
    <cfRule type="cellIs" priority="43" dxfId="211" operator="lessThan" stopIfTrue="1">
      <formula>#REF!+#REF!</formula>
    </cfRule>
    <cfRule type="cellIs" priority="44" dxfId="211" operator="lessThan" stopIfTrue="1">
      <formula>#REF!+BG23+BG24+BG25+BG26+#REF!</formula>
    </cfRule>
  </conditionalFormatting>
  <conditionalFormatting sqref="BG28">
    <cfRule type="cellIs" priority="45" dxfId="211" operator="lessThan" stopIfTrue="1">
      <formula>#REF!+#REF!</formula>
    </cfRule>
    <cfRule type="cellIs" priority="46" dxfId="211" operator="lessThan" stopIfTrue="1">
      <formula>BG30+BG31+BG32+BG34+#REF!+#REF!</formula>
    </cfRule>
  </conditionalFormatting>
  <conditionalFormatting sqref="BG29">
    <cfRule type="cellIs" priority="47" dxfId="211" operator="lessThan" stopIfTrue="1">
      <formula>#REF!+#REF!</formula>
    </cfRule>
    <cfRule type="cellIs" priority="48" dxfId="211" operator="lessThan" stopIfTrue="1">
      <formula>BG31+BG32+BG34+#REF!+#REF!+#REF!</formula>
    </cfRule>
  </conditionalFormatting>
  <conditionalFormatting sqref="BG16">
    <cfRule type="cellIs" priority="49" dxfId="211" operator="lessThan" stopIfTrue="1">
      <formula>BG39+#REF!</formula>
    </cfRule>
    <cfRule type="cellIs" priority="50" dxfId="211" operator="lessThan" stopIfTrue="1">
      <formula>#REF!+#REF!+#REF!+#REF!+#REF!+BG34</formula>
    </cfRule>
  </conditionalFormatting>
  <conditionalFormatting sqref="BG14">
    <cfRule type="cellIs" priority="51" dxfId="211" operator="lessThan" stopIfTrue="1">
      <formula>BG36+#REF!</formula>
    </cfRule>
    <cfRule type="cellIs" priority="52" dxfId="211" operator="lessThan" stopIfTrue="1">
      <formula>#REF!+#REF!+#REF!+#REF!+#REF!+BG31</formula>
    </cfRule>
  </conditionalFormatting>
  <conditionalFormatting sqref="BG17">
    <cfRule type="cellIs" priority="53" dxfId="211" operator="lessThan" stopIfTrue="1">
      <formula>BG38+#REF!</formula>
    </cfRule>
    <cfRule type="cellIs" priority="54" dxfId="211" operator="lessThan" stopIfTrue="1">
      <formula>#REF!+#REF!+#REF!+#REF!+BG31+BG34</formula>
    </cfRule>
  </conditionalFormatting>
  <conditionalFormatting sqref="BG18">
    <cfRule type="cellIs" priority="55" dxfId="211" operator="lessThan" stopIfTrue="1">
      <formula>BG39+#REF!</formula>
    </cfRule>
    <cfRule type="cellIs" priority="56" dxfId="211" operator="lessThan" stopIfTrue="1">
      <formula>#REF!+#REF!+#REF!+#REF!+BG32+BG36</formula>
    </cfRule>
  </conditionalFormatting>
  <conditionalFormatting sqref="BG15">
    <cfRule type="cellIs" priority="57" dxfId="211" operator="lessThan" stopIfTrue="1">
      <formula>BG38+#REF!</formula>
    </cfRule>
    <cfRule type="cellIs" priority="58" dxfId="211" operator="lessThan" stopIfTrue="1">
      <formula>#REF!+#REF!+#REF!+#REF!+#REF!+BG32</formula>
    </cfRule>
  </conditionalFormatting>
  <printOptions horizontalCentered="1"/>
  <pageMargins left="0.56" right="0.4" top="0.18" bottom="0.51" header="0.18" footer="0.25"/>
  <pageSetup fitToHeight="0" fitToWidth="1" horizontalDpi="600" verticalDpi="600" orientation="landscape" paperSize="9" scale="55" r:id="rId4"/>
  <headerFooter alignWithMargins="0">
    <oddFooter>&amp;C&amp;"Arial,Regular"&amp;8UNSD/United Nations Environment Programme Questionnaire 2018 on Environment Statistics - Water Section - p.&amp;P</oddFooter>
  </headerFooter>
  <rowBreaks count="1" manualBreakCount="1">
    <brk id="44" min="2" max="52" man="1"/>
  </rowBreaks>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P74"/>
  <sheetViews>
    <sheetView showGridLines="0" zoomScale="85" zoomScaleNormal="85" zoomScaleSheetLayoutView="55" workbookViewId="0" topLeftCell="C1">
      <selection activeCell="C1" sqref="C1"/>
    </sheetView>
  </sheetViews>
  <sheetFormatPr defaultColWidth="9.33203125" defaultRowHeight="12.75"/>
  <cols>
    <col min="1" max="1" width="7.16015625" style="180" hidden="1" customWidth="1"/>
    <col min="2" max="2" width="11.33203125" style="181" hidden="1" customWidth="1"/>
    <col min="3" max="3" width="11" style="193" customWidth="1"/>
    <col min="4" max="4" width="45.16015625" style="193" customWidth="1"/>
    <col min="5" max="5" width="10.16015625" style="193" customWidth="1"/>
    <col min="6" max="6" width="8" style="193" customWidth="1"/>
    <col min="7" max="7" width="1.83203125" style="193" customWidth="1"/>
    <col min="8" max="8" width="7" style="221" customWidth="1"/>
    <col min="9" max="9" width="1.83203125" style="222" customWidth="1"/>
    <col min="10" max="10" width="7" style="223" customWidth="1"/>
    <col min="11" max="11" width="1.83203125" style="222" customWidth="1"/>
    <col min="12" max="12" width="7" style="223" customWidth="1"/>
    <col min="13" max="13" width="1.83203125" style="222" customWidth="1"/>
    <col min="14" max="14" width="7" style="223" customWidth="1"/>
    <col min="15" max="15" width="1.83203125" style="222" customWidth="1"/>
    <col min="16" max="16" width="7" style="223" customWidth="1"/>
    <col min="17" max="17" width="1.83203125" style="222" customWidth="1"/>
    <col min="18" max="18" width="7" style="223" customWidth="1"/>
    <col min="19" max="19" width="1.83203125" style="222" customWidth="1"/>
    <col min="20" max="20" width="7" style="223" customWidth="1"/>
    <col min="21" max="21" width="1.83203125" style="222" customWidth="1"/>
    <col min="22" max="22" width="7" style="223" customWidth="1"/>
    <col min="23" max="23" width="1.83203125" style="222" customWidth="1"/>
    <col min="24" max="24" width="7" style="221" customWidth="1"/>
    <col min="25" max="25" width="1.83203125" style="222" customWidth="1"/>
    <col min="26" max="26" width="7" style="221" customWidth="1"/>
    <col min="27" max="27" width="1.83203125" style="222" customWidth="1"/>
    <col min="28" max="28" width="7" style="221" customWidth="1"/>
    <col min="29" max="29" width="1.83203125" style="222" customWidth="1"/>
    <col min="30" max="30" width="7" style="221" customWidth="1"/>
    <col min="31" max="31" width="1.83203125" style="222" customWidth="1"/>
    <col min="32" max="32" width="7" style="221" customWidth="1"/>
    <col min="33" max="33" width="1.83203125" style="222" customWidth="1"/>
    <col min="34" max="34" width="7" style="221" customWidth="1"/>
    <col min="35" max="35" width="1.83203125" style="222" customWidth="1"/>
    <col min="36" max="36" width="7" style="223" customWidth="1"/>
    <col min="37" max="37" width="1.83203125" style="222" customWidth="1"/>
    <col min="38" max="38" width="7" style="221" customWidth="1"/>
    <col min="39" max="39" width="1.83203125" style="222" customWidth="1"/>
    <col min="40" max="40" width="7" style="221" customWidth="1"/>
    <col min="41" max="41" width="1.83203125" style="222" customWidth="1"/>
    <col min="42" max="42" width="7" style="222" customWidth="1"/>
    <col min="43" max="43" width="1.83203125" style="222" customWidth="1"/>
    <col min="44" max="44" width="7" style="222" customWidth="1"/>
    <col min="45" max="45" width="1.83203125" style="222" customWidth="1"/>
    <col min="46" max="46" width="7" style="221" customWidth="1"/>
    <col min="47" max="47" width="1.83203125" style="222" customWidth="1"/>
    <col min="48" max="48" width="7" style="222" customWidth="1"/>
    <col min="49" max="49" width="1.83203125" style="222" customWidth="1"/>
    <col min="50" max="50" width="7" style="221" customWidth="1"/>
    <col min="51" max="51" width="1.83203125" style="222" customWidth="1"/>
    <col min="52" max="52" width="7" style="221" customWidth="1"/>
    <col min="53" max="53" width="1.83203125" style="222" customWidth="1"/>
    <col min="54" max="54" width="1.83203125" style="193" customWidth="1"/>
    <col min="55" max="55" width="1.66796875" style="191" customWidth="1"/>
    <col min="56" max="56" width="7.16015625" style="191" customWidth="1"/>
    <col min="57" max="57" width="36.16015625" style="191" customWidth="1"/>
    <col min="58" max="58" width="10.66015625" style="191" customWidth="1"/>
    <col min="59" max="59" width="5.16015625" style="191" customWidth="1"/>
    <col min="60" max="60" width="2.16015625" style="191" customWidth="1"/>
    <col min="61" max="61" width="5.16015625" style="191" customWidth="1"/>
    <col min="62" max="62" width="1.5" style="191" customWidth="1"/>
    <col min="63" max="63" width="5.16015625" style="191" customWidth="1"/>
    <col min="64" max="64" width="1.5" style="191" customWidth="1"/>
    <col min="65" max="65" width="5.16015625" style="191" customWidth="1"/>
    <col min="66" max="66" width="1.5" style="191" customWidth="1"/>
    <col min="67" max="67" width="5.16015625" style="191" customWidth="1"/>
    <col min="68" max="68" width="1.5" style="191" customWidth="1"/>
    <col min="69" max="69" width="5.16015625" style="191" customWidth="1"/>
    <col min="70" max="70" width="1.5" style="191" customWidth="1"/>
    <col min="71" max="71" width="5.16015625" style="191" customWidth="1"/>
    <col min="72" max="72" width="1.5" style="191" customWidth="1"/>
    <col min="73" max="73" width="5.16015625" style="191" customWidth="1"/>
    <col min="74" max="74" width="1.5" style="191" customWidth="1"/>
    <col min="75" max="75" width="5.16015625" style="191" customWidth="1"/>
    <col min="76" max="76" width="1.5" style="191" customWidth="1"/>
    <col min="77" max="77" width="5.16015625" style="191" customWidth="1"/>
    <col min="78" max="78" width="1.5" style="191" customWidth="1"/>
    <col min="79" max="79" width="5.16015625" style="191" customWidth="1"/>
    <col min="80" max="80" width="1.5" style="191" customWidth="1"/>
    <col min="81" max="81" width="5.16015625" style="191" customWidth="1"/>
    <col min="82" max="82" width="1.5" style="191" customWidth="1"/>
    <col min="83" max="83" width="5.16015625" style="191" customWidth="1"/>
    <col min="84" max="84" width="1.5" style="191" customWidth="1"/>
    <col min="85" max="85" width="5.16015625" style="191" customWidth="1"/>
    <col min="86" max="86" width="1.5" style="191" customWidth="1"/>
    <col min="87" max="87" width="5.16015625" style="191" customWidth="1"/>
    <col min="88" max="88" width="1.5" style="191" customWidth="1"/>
    <col min="89" max="89" width="5.16015625" style="191" customWidth="1"/>
    <col min="90" max="90" width="1.5" style="191" customWidth="1"/>
    <col min="91" max="91" width="5.16015625" style="191" customWidth="1"/>
    <col min="92" max="92" width="1.5" style="191" customWidth="1"/>
    <col min="93" max="93" width="5.16015625" style="191" customWidth="1"/>
    <col min="94" max="94" width="1.5" style="191" customWidth="1"/>
    <col min="95" max="95" width="5.16015625" style="191" customWidth="1"/>
    <col min="96" max="96" width="1.5" style="191" customWidth="1"/>
    <col min="97" max="97" width="5.16015625" style="191" customWidth="1"/>
    <col min="98" max="98" width="1.5" style="191" customWidth="1"/>
    <col min="99" max="99" width="5.16015625" style="191" customWidth="1"/>
    <col min="100" max="100" width="1.5" style="191" customWidth="1"/>
    <col min="101" max="101" width="5.16015625" style="191" customWidth="1"/>
    <col min="102" max="102" width="1.5" style="191" customWidth="1"/>
    <col min="103" max="103" width="5.16015625" style="191" customWidth="1"/>
    <col min="104" max="104" width="1.5" style="191" customWidth="1"/>
    <col min="105" max="105" width="5.16015625" style="191" customWidth="1"/>
    <col min="106" max="16384" width="9.33203125" style="193" customWidth="1"/>
  </cols>
  <sheetData>
    <row r="1" spans="1:105" s="431" customFormat="1" ht="16.5" customHeight="1">
      <c r="A1" s="430"/>
      <c r="B1" s="181">
        <v>0</v>
      </c>
      <c r="C1" s="182" t="s">
        <v>309</v>
      </c>
      <c r="D1" s="182"/>
      <c r="E1" s="327"/>
      <c r="F1" s="327"/>
      <c r="G1" s="327"/>
      <c r="H1" s="328"/>
      <c r="I1" s="329"/>
      <c r="J1" s="330"/>
      <c r="K1" s="329"/>
      <c r="L1" s="330"/>
      <c r="M1" s="329"/>
      <c r="N1" s="330"/>
      <c r="O1" s="329"/>
      <c r="P1" s="330"/>
      <c r="Q1" s="329"/>
      <c r="R1" s="330"/>
      <c r="S1" s="329"/>
      <c r="T1" s="330"/>
      <c r="U1" s="329"/>
      <c r="V1" s="330"/>
      <c r="W1" s="329"/>
      <c r="X1" s="328"/>
      <c r="Y1" s="329"/>
      <c r="Z1" s="328"/>
      <c r="AA1" s="329"/>
      <c r="AB1" s="328"/>
      <c r="AC1" s="329"/>
      <c r="AD1" s="328"/>
      <c r="AE1" s="329"/>
      <c r="AF1" s="328"/>
      <c r="AG1" s="329"/>
      <c r="AH1" s="328"/>
      <c r="AI1" s="329"/>
      <c r="AJ1" s="330"/>
      <c r="AK1" s="329"/>
      <c r="AL1" s="328"/>
      <c r="AM1" s="329"/>
      <c r="AN1" s="328"/>
      <c r="AO1" s="329"/>
      <c r="AP1" s="329"/>
      <c r="AQ1" s="329"/>
      <c r="AR1" s="329"/>
      <c r="AS1" s="329"/>
      <c r="AT1" s="328"/>
      <c r="AU1" s="329"/>
      <c r="AV1" s="329"/>
      <c r="AW1" s="329"/>
      <c r="AX1" s="328"/>
      <c r="AY1" s="329"/>
      <c r="AZ1" s="328"/>
      <c r="BA1" s="329"/>
      <c r="BB1" s="570"/>
      <c r="BC1" s="215"/>
      <c r="BD1" s="192" t="s">
        <v>84</v>
      </c>
      <c r="BE1" s="640"/>
      <c r="BF1" s="640"/>
      <c r="BG1" s="640"/>
      <c r="BH1" s="640"/>
      <c r="BI1" s="640"/>
      <c r="BJ1" s="640"/>
      <c r="BK1" s="640"/>
      <c r="BL1" s="640"/>
      <c r="BM1" s="640"/>
      <c r="BN1" s="640"/>
      <c r="BO1" s="640"/>
      <c r="BP1" s="640"/>
      <c r="BQ1" s="640"/>
      <c r="BR1" s="640"/>
      <c r="BS1" s="640"/>
      <c r="BT1" s="640"/>
      <c r="BU1" s="640"/>
      <c r="BV1" s="640"/>
      <c r="BW1" s="640"/>
      <c r="BX1" s="640"/>
      <c r="BY1" s="640"/>
      <c r="BZ1" s="640"/>
      <c r="CA1" s="640"/>
      <c r="CB1" s="640"/>
      <c r="CC1" s="640"/>
      <c r="CD1" s="640"/>
      <c r="CE1" s="640"/>
      <c r="CF1" s="640"/>
      <c r="CG1" s="640"/>
      <c r="CH1" s="640"/>
      <c r="CI1" s="640"/>
      <c r="CJ1" s="640"/>
      <c r="CK1" s="640"/>
      <c r="CL1" s="640"/>
      <c r="CM1" s="640"/>
      <c r="CN1" s="640"/>
      <c r="CO1" s="640"/>
      <c r="CP1" s="640"/>
      <c r="CQ1" s="640"/>
      <c r="CR1" s="640"/>
      <c r="CS1" s="640"/>
      <c r="CT1" s="640"/>
      <c r="CU1" s="640"/>
      <c r="CV1" s="640"/>
      <c r="CW1" s="640"/>
      <c r="CX1" s="640"/>
      <c r="CY1" s="640"/>
      <c r="CZ1" s="640"/>
      <c r="DA1" s="640"/>
    </row>
    <row r="2" spans="5:24" ht="6" customHeight="1">
      <c r="E2" s="332"/>
      <c r="F2" s="332"/>
      <c r="G2" s="332"/>
      <c r="H2" s="333"/>
      <c r="I2" s="334"/>
      <c r="J2" s="335"/>
      <c r="K2" s="334"/>
      <c r="L2" s="335"/>
      <c r="M2" s="334"/>
      <c r="N2" s="335"/>
      <c r="O2" s="334"/>
      <c r="P2" s="335"/>
      <c r="Q2" s="334"/>
      <c r="R2" s="335"/>
      <c r="S2" s="334"/>
      <c r="T2" s="335"/>
      <c r="U2" s="334"/>
      <c r="V2" s="335"/>
      <c r="W2" s="334"/>
      <c r="X2" s="336"/>
    </row>
    <row r="3" spans="1:108" s="353" customFormat="1" ht="17.25" customHeight="1">
      <c r="A3" s="280"/>
      <c r="B3" s="280">
        <v>894</v>
      </c>
      <c r="C3" s="337" t="s">
        <v>311</v>
      </c>
      <c r="D3" s="30" t="s">
        <v>498</v>
      </c>
      <c r="E3" s="422"/>
      <c r="F3" s="423"/>
      <c r="G3" s="424"/>
      <c r="H3" s="425"/>
      <c r="I3" s="426"/>
      <c r="J3" s="425"/>
      <c r="K3" s="426"/>
      <c r="L3" s="425"/>
      <c r="M3" s="426"/>
      <c r="N3" s="425"/>
      <c r="O3" s="426"/>
      <c r="P3" s="425"/>
      <c r="Q3" s="426"/>
      <c r="R3" s="425"/>
      <c r="S3" s="426"/>
      <c r="T3" s="425"/>
      <c r="U3" s="426"/>
      <c r="V3" s="425"/>
      <c r="W3" s="424"/>
      <c r="X3" s="425"/>
      <c r="Y3" s="427"/>
      <c r="Z3" s="108"/>
      <c r="AA3" s="427"/>
      <c r="AB3" s="55"/>
      <c r="AC3" s="337" t="s">
        <v>303</v>
      </c>
      <c r="AD3" s="339"/>
      <c r="AE3" s="338"/>
      <c r="AF3" s="339"/>
      <c r="AG3" s="340"/>
      <c r="AH3" s="425"/>
      <c r="AI3" s="424"/>
      <c r="AJ3" s="425"/>
      <c r="AK3" s="424"/>
      <c r="AL3" s="425"/>
      <c r="AM3" s="424"/>
      <c r="AN3" s="425"/>
      <c r="AO3" s="428"/>
      <c r="AP3" s="428"/>
      <c r="AQ3" s="428"/>
      <c r="AR3" s="428"/>
      <c r="AS3" s="428"/>
      <c r="AT3" s="429"/>
      <c r="AU3" s="429"/>
      <c r="AV3" s="428"/>
      <c r="AW3" s="428"/>
      <c r="AX3" s="429"/>
      <c r="AY3" s="429"/>
      <c r="AZ3" s="429"/>
      <c r="BA3" s="429"/>
      <c r="BB3" s="429"/>
      <c r="BC3" s="432"/>
      <c r="BD3" s="344" t="s">
        <v>51</v>
      </c>
      <c r="BE3" s="433"/>
      <c r="BF3" s="433"/>
      <c r="BG3" s="351"/>
      <c r="BH3" s="351"/>
      <c r="BI3" s="351"/>
      <c r="BJ3" s="351"/>
      <c r="BK3" s="845"/>
      <c r="BL3" s="845"/>
      <c r="BM3" s="845"/>
      <c r="BN3" s="435"/>
      <c r="BO3" s="435"/>
      <c r="BP3" s="435"/>
      <c r="BQ3" s="845"/>
      <c r="BR3" s="845"/>
      <c r="BS3" s="845"/>
      <c r="BT3" s="435"/>
      <c r="BU3" s="435"/>
      <c r="BV3" s="435"/>
      <c r="BW3" s="435"/>
      <c r="BX3" s="435"/>
      <c r="BY3" s="435"/>
      <c r="BZ3" s="435"/>
      <c r="CA3" s="351"/>
      <c r="CB3" s="351"/>
      <c r="CC3" s="351"/>
      <c r="CD3" s="351"/>
      <c r="CE3" s="351"/>
      <c r="CF3" s="351"/>
      <c r="CG3" s="436"/>
      <c r="CH3" s="436"/>
      <c r="CI3" s="436"/>
      <c r="CJ3" s="436"/>
      <c r="CK3" s="351"/>
      <c r="CL3" s="351"/>
      <c r="CM3" s="351"/>
      <c r="CN3" s="351"/>
      <c r="CO3" s="351"/>
      <c r="CP3" s="351"/>
      <c r="CQ3" s="351"/>
      <c r="CR3" s="351"/>
      <c r="CS3" s="351"/>
      <c r="CT3" s="351"/>
      <c r="CU3" s="351"/>
      <c r="CV3" s="351"/>
      <c r="CW3" s="351"/>
      <c r="CX3" s="351"/>
      <c r="CY3" s="351"/>
      <c r="CZ3" s="351"/>
      <c r="DA3" s="351"/>
      <c r="DB3" s="352"/>
      <c r="DC3" s="352"/>
      <c r="DD3" s="352"/>
    </row>
    <row r="4" spans="5:56" ht="5.25" customHeight="1">
      <c r="E4" s="354"/>
      <c r="F4" s="354"/>
      <c r="G4" s="354"/>
      <c r="Y4" s="341"/>
      <c r="Z4" s="336"/>
      <c r="AL4" s="333"/>
      <c r="AM4" s="334"/>
      <c r="BD4" s="318"/>
    </row>
    <row r="5" spans="1:105" s="431" customFormat="1" ht="17.25" customHeight="1">
      <c r="A5" s="430"/>
      <c r="B5" s="181">
        <v>17</v>
      </c>
      <c r="C5" s="825" t="s">
        <v>205</v>
      </c>
      <c r="D5" s="825"/>
      <c r="E5" s="846"/>
      <c r="F5" s="846"/>
      <c r="G5" s="846"/>
      <c r="H5" s="846"/>
      <c r="I5" s="827"/>
      <c r="J5" s="827"/>
      <c r="K5" s="827"/>
      <c r="L5" s="827"/>
      <c r="M5" s="827"/>
      <c r="N5" s="827"/>
      <c r="O5" s="827"/>
      <c r="P5" s="827"/>
      <c r="Q5" s="827"/>
      <c r="R5" s="827"/>
      <c r="S5" s="827"/>
      <c r="T5" s="827"/>
      <c r="U5" s="827"/>
      <c r="V5" s="827"/>
      <c r="W5" s="827"/>
      <c r="X5" s="846"/>
      <c r="Y5" s="827"/>
      <c r="Z5" s="846"/>
      <c r="AA5" s="827"/>
      <c r="AB5" s="846"/>
      <c r="AC5" s="827"/>
      <c r="AD5" s="846"/>
      <c r="AE5" s="827"/>
      <c r="AF5" s="846"/>
      <c r="AG5" s="827"/>
      <c r="AH5" s="846"/>
      <c r="AI5" s="827"/>
      <c r="AJ5" s="827"/>
      <c r="AK5" s="827"/>
      <c r="AL5" s="846"/>
      <c r="AM5" s="827"/>
      <c r="AN5" s="846"/>
      <c r="AO5" s="355"/>
      <c r="AP5" s="355"/>
      <c r="AQ5" s="355"/>
      <c r="AR5" s="355"/>
      <c r="AS5" s="355"/>
      <c r="AT5" s="356"/>
      <c r="AU5" s="355"/>
      <c r="AV5" s="355"/>
      <c r="AW5" s="355"/>
      <c r="AX5" s="356"/>
      <c r="AY5" s="355"/>
      <c r="AZ5" s="356"/>
      <c r="BA5" s="355"/>
      <c r="BB5" s="437"/>
      <c r="BC5" s="215"/>
      <c r="BD5" s="357" t="s">
        <v>52</v>
      </c>
      <c r="BE5" s="640"/>
      <c r="BF5" s="640"/>
      <c r="BG5" s="640"/>
      <c r="BH5" s="640"/>
      <c r="BI5" s="640"/>
      <c r="BJ5" s="640"/>
      <c r="BK5" s="640"/>
      <c r="BL5" s="640"/>
      <c r="BM5" s="640"/>
      <c r="BN5" s="640"/>
      <c r="BO5" s="640"/>
      <c r="BP5" s="640"/>
      <c r="BQ5" s="640"/>
      <c r="BR5" s="640"/>
      <c r="BS5" s="640"/>
      <c r="BT5" s="640"/>
      <c r="BU5" s="640"/>
      <c r="BV5" s="640"/>
      <c r="BW5" s="640"/>
      <c r="BX5" s="640"/>
      <c r="BY5" s="640"/>
      <c r="BZ5" s="640"/>
      <c r="CA5" s="640"/>
      <c r="CB5" s="640"/>
      <c r="CC5" s="640"/>
      <c r="CD5" s="640"/>
      <c r="CE5" s="640"/>
      <c r="CF5" s="640"/>
      <c r="CG5" s="640"/>
      <c r="CH5" s="640"/>
      <c r="CI5" s="640"/>
      <c r="CJ5" s="640"/>
      <c r="CK5" s="640"/>
      <c r="CL5" s="640"/>
      <c r="CM5" s="640"/>
      <c r="CN5" s="640"/>
      <c r="CO5" s="640"/>
      <c r="CP5" s="640"/>
      <c r="CQ5" s="640"/>
      <c r="CR5" s="640"/>
      <c r="CS5" s="640"/>
      <c r="CT5" s="640"/>
      <c r="CU5" s="640"/>
      <c r="CV5" s="640"/>
      <c r="CW5" s="640"/>
      <c r="CX5" s="640"/>
      <c r="CY5" s="640"/>
      <c r="CZ5" s="640"/>
      <c r="DA5" s="640"/>
    </row>
    <row r="6" spans="1:105" s="439" customFormat="1" ht="14.25" customHeight="1">
      <c r="A6" s="438"/>
      <c r="B6" s="181"/>
      <c r="C6" s="431"/>
      <c r="D6" s="431"/>
      <c r="E6" s="220"/>
      <c r="F6" s="679" t="s">
        <v>508</v>
      </c>
      <c r="G6" s="221"/>
      <c r="H6" s="222"/>
      <c r="I6" s="223"/>
      <c r="J6" s="222"/>
      <c r="K6" s="223"/>
      <c r="L6" s="222"/>
      <c r="M6" s="223"/>
      <c r="N6" s="222"/>
      <c r="O6" s="223"/>
      <c r="P6" s="222"/>
      <c r="Q6" s="223"/>
      <c r="R6" s="222"/>
      <c r="S6" s="223"/>
      <c r="T6" s="222"/>
      <c r="U6" s="223"/>
      <c r="V6" s="222"/>
      <c r="W6" s="221"/>
      <c r="Z6" s="597"/>
      <c r="AA6" s="358"/>
      <c r="AB6" s="359"/>
      <c r="AC6" s="360"/>
      <c r="AD6" s="359"/>
      <c r="AE6" s="360"/>
      <c r="AF6" s="359"/>
      <c r="AG6" s="361"/>
      <c r="AJ6" s="359"/>
      <c r="AK6" s="360"/>
      <c r="AL6" s="359"/>
      <c r="AM6" s="221"/>
      <c r="AN6" s="359"/>
      <c r="AO6" s="362"/>
      <c r="AP6" s="362"/>
      <c r="AQ6" s="362"/>
      <c r="AR6" s="362"/>
      <c r="AS6" s="362"/>
      <c r="AT6" s="319"/>
      <c r="AU6" s="363"/>
      <c r="AV6" s="362"/>
      <c r="AW6" s="362"/>
      <c r="AX6" s="319"/>
      <c r="AY6" s="363"/>
      <c r="AZ6" s="319"/>
      <c r="BB6" s="319"/>
      <c r="BC6" s="440"/>
      <c r="BD6" s="364" t="s">
        <v>46</v>
      </c>
      <c r="BE6" s="640"/>
      <c r="BF6" s="640"/>
      <c r="BG6" s="640"/>
      <c r="BH6" s="640"/>
      <c r="BI6" s="640"/>
      <c r="BJ6" s="640"/>
      <c r="BK6" s="640"/>
      <c r="BL6" s="640"/>
      <c r="BM6" s="640"/>
      <c r="BN6" s="640"/>
      <c r="BO6" s="640"/>
      <c r="BP6" s="640"/>
      <c r="BQ6" s="640"/>
      <c r="BR6" s="640"/>
      <c r="BS6" s="640"/>
      <c r="BT6" s="640"/>
      <c r="BU6" s="640"/>
      <c r="BV6" s="640"/>
      <c r="BW6" s="640"/>
      <c r="BX6" s="640"/>
      <c r="BY6" s="640"/>
      <c r="BZ6" s="640"/>
      <c r="CA6" s="640"/>
      <c r="CB6" s="640"/>
      <c r="CC6" s="640"/>
      <c r="CD6" s="640"/>
      <c r="CE6" s="640"/>
      <c r="CF6" s="640"/>
      <c r="CG6" s="640"/>
      <c r="CH6" s="640"/>
      <c r="CI6" s="640"/>
      <c r="CJ6" s="640"/>
      <c r="CK6" s="640"/>
      <c r="CL6" s="640"/>
      <c r="CM6" s="640"/>
      <c r="CN6" s="640"/>
      <c r="CO6" s="640"/>
      <c r="CP6" s="640"/>
      <c r="CQ6" s="640"/>
      <c r="CR6" s="640"/>
      <c r="CS6" s="640"/>
      <c r="CT6" s="640"/>
      <c r="CU6" s="640"/>
      <c r="CV6" s="640"/>
      <c r="CW6" s="640"/>
      <c r="CX6" s="640"/>
      <c r="CY6" s="640"/>
      <c r="CZ6" s="640"/>
      <c r="DA6" s="640"/>
    </row>
    <row r="7" spans="1:105" s="235" customFormat="1" ht="21.75" customHeight="1">
      <c r="A7" s="230"/>
      <c r="B7" s="231">
        <v>2</v>
      </c>
      <c r="C7" s="233" t="s">
        <v>301</v>
      </c>
      <c r="D7" s="233" t="s">
        <v>302</v>
      </c>
      <c r="E7" s="233" t="s">
        <v>305</v>
      </c>
      <c r="F7" s="232">
        <v>1990</v>
      </c>
      <c r="G7" s="234"/>
      <c r="H7" s="233">
        <v>1995</v>
      </c>
      <c r="I7" s="234"/>
      <c r="J7" s="233">
        <v>1996</v>
      </c>
      <c r="K7" s="234"/>
      <c r="L7" s="233">
        <v>1997</v>
      </c>
      <c r="M7" s="234"/>
      <c r="N7" s="233">
        <v>1998</v>
      </c>
      <c r="O7" s="234"/>
      <c r="P7" s="233">
        <v>1999</v>
      </c>
      <c r="Q7" s="234"/>
      <c r="R7" s="233">
        <v>2000</v>
      </c>
      <c r="S7" s="234"/>
      <c r="T7" s="233">
        <v>2001</v>
      </c>
      <c r="U7" s="234"/>
      <c r="V7" s="233">
        <v>2002</v>
      </c>
      <c r="W7" s="234"/>
      <c r="X7" s="233">
        <v>2003</v>
      </c>
      <c r="Y7" s="234"/>
      <c r="Z7" s="233">
        <v>2004</v>
      </c>
      <c r="AA7" s="234"/>
      <c r="AB7" s="233">
        <v>2005</v>
      </c>
      <c r="AC7" s="234"/>
      <c r="AD7" s="233">
        <v>2006</v>
      </c>
      <c r="AE7" s="234"/>
      <c r="AF7" s="233">
        <v>2007</v>
      </c>
      <c r="AG7" s="234"/>
      <c r="AH7" s="233">
        <v>2008</v>
      </c>
      <c r="AI7" s="233"/>
      <c r="AJ7" s="233">
        <v>2009</v>
      </c>
      <c r="AK7" s="234"/>
      <c r="AL7" s="233">
        <v>2010</v>
      </c>
      <c r="AM7" s="234"/>
      <c r="AN7" s="233">
        <v>2011</v>
      </c>
      <c r="AO7" s="234"/>
      <c r="AP7" s="233">
        <v>2012</v>
      </c>
      <c r="AQ7" s="234"/>
      <c r="AR7" s="233">
        <v>2013</v>
      </c>
      <c r="AS7" s="234"/>
      <c r="AT7" s="233">
        <v>2014</v>
      </c>
      <c r="AU7" s="234"/>
      <c r="AV7" s="233">
        <v>2015</v>
      </c>
      <c r="AW7" s="234"/>
      <c r="AX7" s="233">
        <v>2016</v>
      </c>
      <c r="AY7" s="234"/>
      <c r="AZ7" s="233">
        <v>2017</v>
      </c>
      <c r="BA7" s="234"/>
      <c r="BC7" s="230"/>
      <c r="BD7" s="233" t="s">
        <v>301</v>
      </c>
      <c r="BE7" s="233" t="s">
        <v>302</v>
      </c>
      <c r="BF7" s="233" t="s">
        <v>305</v>
      </c>
      <c r="BG7" s="232">
        <v>1990</v>
      </c>
      <c r="BH7" s="232"/>
      <c r="BI7" s="233">
        <v>1995</v>
      </c>
      <c r="BJ7" s="233"/>
      <c r="BK7" s="233">
        <v>1996</v>
      </c>
      <c r="BL7" s="233"/>
      <c r="BM7" s="233">
        <v>1997</v>
      </c>
      <c r="BN7" s="233"/>
      <c r="BO7" s="233">
        <v>1998</v>
      </c>
      <c r="BP7" s="233"/>
      <c r="BQ7" s="233">
        <v>1999</v>
      </c>
      <c r="BR7" s="233"/>
      <c r="BS7" s="233">
        <v>2000</v>
      </c>
      <c r="BT7" s="233"/>
      <c r="BU7" s="233">
        <v>2001</v>
      </c>
      <c r="BV7" s="233"/>
      <c r="BW7" s="233">
        <v>2002</v>
      </c>
      <c r="BX7" s="233"/>
      <c r="BY7" s="233">
        <v>2003</v>
      </c>
      <c r="BZ7" s="233"/>
      <c r="CA7" s="233">
        <v>2004</v>
      </c>
      <c r="CB7" s="233"/>
      <c r="CC7" s="233">
        <v>2005</v>
      </c>
      <c r="CD7" s="233"/>
      <c r="CE7" s="233">
        <v>2006</v>
      </c>
      <c r="CF7" s="233"/>
      <c r="CG7" s="233">
        <v>2007</v>
      </c>
      <c r="CH7" s="233"/>
      <c r="CI7" s="233">
        <v>2008</v>
      </c>
      <c r="CJ7" s="233"/>
      <c r="CK7" s="233">
        <v>2009</v>
      </c>
      <c r="CL7" s="233"/>
      <c r="CM7" s="233">
        <v>2010</v>
      </c>
      <c r="CN7" s="233"/>
      <c r="CO7" s="233">
        <v>2011</v>
      </c>
      <c r="CP7" s="233"/>
      <c r="CQ7" s="233">
        <v>2012</v>
      </c>
      <c r="CR7" s="233"/>
      <c r="CS7" s="233">
        <v>2013</v>
      </c>
      <c r="CT7" s="233"/>
      <c r="CU7" s="233">
        <v>2014</v>
      </c>
      <c r="CV7" s="233"/>
      <c r="CW7" s="233">
        <v>2015</v>
      </c>
      <c r="CX7" s="233"/>
      <c r="CY7" s="233">
        <v>2016</v>
      </c>
      <c r="CZ7" s="233"/>
      <c r="DA7" s="233">
        <v>2017</v>
      </c>
    </row>
    <row r="8" spans="1:105" s="202" customFormat="1" ht="27" customHeight="1">
      <c r="A8" s="180"/>
      <c r="B8" s="237">
        <v>275</v>
      </c>
      <c r="C8" s="372">
        <v>1</v>
      </c>
      <c r="D8" s="254" t="s">
        <v>15</v>
      </c>
      <c r="E8" s="255" t="s">
        <v>313</v>
      </c>
      <c r="F8" s="602"/>
      <c r="G8" s="585"/>
      <c r="H8" s="602"/>
      <c r="I8" s="585"/>
      <c r="J8" s="602"/>
      <c r="K8" s="585"/>
      <c r="L8" s="602"/>
      <c r="M8" s="585"/>
      <c r="N8" s="602"/>
      <c r="O8" s="585"/>
      <c r="P8" s="602"/>
      <c r="Q8" s="585"/>
      <c r="R8" s="602"/>
      <c r="S8" s="585"/>
      <c r="T8" s="602"/>
      <c r="U8" s="585"/>
      <c r="V8" s="602"/>
      <c r="W8" s="585"/>
      <c r="X8" s="602"/>
      <c r="Y8" s="585"/>
      <c r="Z8" s="602"/>
      <c r="AA8" s="585"/>
      <c r="AB8" s="602"/>
      <c r="AC8" s="585"/>
      <c r="AD8" s="602"/>
      <c r="AE8" s="585"/>
      <c r="AF8" s="602"/>
      <c r="AG8" s="585"/>
      <c r="AH8" s="602"/>
      <c r="AI8" s="585"/>
      <c r="AJ8" s="602"/>
      <c r="AK8" s="585"/>
      <c r="AL8" s="602"/>
      <c r="AM8" s="585"/>
      <c r="AN8" s="602"/>
      <c r="AO8" s="585"/>
      <c r="AP8" s="602"/>
      <c r="AQ8" s="585"/>
      <c r="AR8" s="602"/>
      <c r="AS8" s="585"/>
      <c r="AT8" s="602"/>
      <c r="AU8" s="585"/>
      <c r="AV8" s="602"/>
      <c r="AW8" s="585"/>
      <c r="AX8" s="602"/>
      <c r="AY8" s="585"/>
      <c r="AZ8" s="602"/>
      <c r="BA8" s="585"/>
      <c r="BC8" s="191"/>
      <c r="BD8" s="639">
        <v>1</v>
      </c>
      <c r="BE8" s="646" t="s">
        <v>15</v>
      </c>
      <c r="BF8" s="594" t="s">
        <v>313</v>
      </c>
      <c r="BG8" s="245" t="s">
        <v>85</v>
      </c>
      <c r="BH8" s="607"/>
      <c r="BI8" s="80" t="str">
        <f>IF(OR(ISBLANK(F8),ISBLANK(H8)),"N/A",IF(ABS((H8-F8)/F8)&gt;1,"&gt; 100%","ok"))</f>
        <v>N/A</v>
      </c>
      <c r="BJ8" s="607"/>
      <c r="BK8" s="83" t="str">
        <f>IF(OR(ISBLANK(H8),ISBLANK(J8)),"N/A",IF(ABS((J8-H8)/H8)&gt;0.25,"&gt; 25%","ok"))</f>
        <v>N/A</v>
      </c>
      <c r="BL8" s="83"/>
      <c r="BM8" s="83" t="str">
        <f>IF(OR(ISBLANK(J8),ISBLANK(L8)),"N/A",IF(ABS((L8-J8)/J8)&gt;0.25,"&gt; 25%","ok"))</f>
        <v>N/A</v>
      </c>
      <c r="BN8" s="83"/>
      <c r="BO8" s="83" t="str">
        <f>IF(OR(ISBLANK(L8),ISBLANK(N8)),"N/A",IF(ABS((N8-L8)/L8)&gt;0.25,"&gt; 25%","ok"))</f>
        <v>N/A</v>
      </c>
      <c r="BP8" s="83"/>
      <c r="BQ8" s="83" t="str">
        <f>IF(OR(ISBLANK(N8),ISBLANK(P8)),"N/A",IF(ABS((P8-N8)/N8)&gt;0.25,"&gt; 25%","ok"))</f>
        <v>N/A</v>
      </c>
      <c r="BR8" s="83"/>
      <c r="BS8" s="83" t="str">
        <f>IF(OR(ISBLANK(P8),ISBLANK(R8)),"N/A",IF(ABS((R8-P8)/P8)&gt;0.25,"&gt; 25%","ok"))</f>
        <v>N/A</v>
      </c>
      <c r="BT8" s="83"/>
      <c r="BU8" s="83" t="str">
        <f>IF(OR(ISBLANK(R8),ISBLANK(T8)),"N/A",IF(ABS((T8-R8)/R8)&gt;0.25,"&gt; 25%","ok"))</f>
        <v>N/A</v>
      </c>
      <c r="BV8" s="83"/>
      <c r="BW8" s="83" t="str">
        <f>IF(OR(ISBLANK(T8),ISBLANK(V8)),"N/A",IF(ABS((V8-T8)/T8)&gt;0.25,"&gt; 25%","ok"))</f>
        <v>N/A</v>
      </c>
      <c r="BX8" s="83"/>
      <c r="BY8" s="83" t="str">
        <f>IF(OR(ISBLANK(V8),ISBLANK(X8)),"N/A",IF(ABS((X8-V8)/V8)&gt;0.25,"&gt; 25%","ok"))</f>
        <v>N/A</v>
      </c>
      <c r="BZ8" s="83"/>
      <c r="CA8" s="83" t="str">
        <f>IF(OR(ISBLANK(X8),ISBLANK(Z8)),"N/A",IF(ABS((Z8-X8)/X8)&gt;0.25,"&gt; 25%","ok"))</f>
        <v>N/A</v>
      </c>
      <c r="CB8" s="83"/>
      <c r="CC8" s="83" t="str">
        <f>IF(OR(ISBLANK(Z8),ISBLANK(AB8)),"N/A",IF(ABS((AB8-Z8)/Z8)&gt;0.25,"&gt; 25%","ok"))</f>
        <v>N/A</v>
      </c>
      <c r="CD8" s="83"/>
      <c r="CE8" s="83" t="str">
        <f>IF(OR(ISBLANK(AB8),ISBLANK(AD8)),"N/A",IF(ABS((AD8-AB8)/AB8)&gt;0.25,"&gt; 25%","ok"))</f>
        <v>N/A</v>
      </c>
      <c r="CF8" s="83"/>
      <c r="CG8" s="83" t="str">
        <f>IF(OR(ISBLANK(AD8),ISBLANK(AF8)),"N/A",IF(ABS((AF8-AD8)/AD8)&gt;0.25,"&gt; 25%","ok"))</f>
        <v>N/A</v>
      </c>
      <c r="CH8" s="83"/>
      <c r="CI8" s="83" t="str">
        <f>IF(OR(ISBLANK(AF8),ISBLANK(AH8)),"N/A",IF(ABS((AH8-AF8)/AF8)&gt;0.25,"&gt; 25%","ok"))</f>
        <v>N/A</v>
      </c>
      <c r="CJ8" s="83"/>
      <c r="CK8" s="83" t="str">
        <f>IF(OR(ISBLANK(AH8),ISBLANK(AJ8)),"N/A",IF(ABS((AJ8-AH8)/AH8)&gt;0.25,"&gt; 25%","ok"))</f>
        <v>N/A</v>
      </c>
      <c r="CL8" s="83"/>
      <c r="CM8" s="83" t="str">
        <f>IF(OR(ISBLANK(AJ8),ISBLANK(AL8)),"N/A",IF(ABS((AL8-AJ8)/AJ8)&gt;0.25,"&gt; 25%","ok"))</f>
        <v>N/A</v>
      </c>
      <c r="CN8" s="83"/>
      <c r="CO8" s="83" t="str">
        <f>IF(OR(ISBLANK(AL8),ISBLANK(AN8)),"N/A",IF(ABS((AN8-AL8)/AL8)&gt;0.25,"&gt; 25%","ok"))</f>
        <v>N/A</v>
      </c>
      <c r="CP8" s="83"/>
      <c r="CQ8" s="83" t="str">
        <f>IF(OR(ISBLANK(AN8),ISBLANK(AP8)),"N/A",IF(ABS((AP8-AN8)/AN8)&gt;0.25,"&gt; 25%","ok"))</f>
        <v>N/A</v>
      </c>
      <c r="CR8" s="83"/>
      <c r="CS8" s="83" t="str">
        <f>IF(OR(ISBLANK(AP8),ISBLANK(AR8)),"N/A",IF(ABS((AR8-AP8)/AP8)&gt;0.25,"&gt; 25%","ok"))</f>
        <v>N/A</v>
      </c>
      <c r="CT8" s="83"/>
      <c r="CU8" s="83" t="str">
        <f>IF(OR(ISBLANK(AR8),ISBLANK(AT8)),"N/A",IF(ABS((AT8-AR8)/AR8)&gt;0.25,"&gt; 25%","ok"))</f>
        <v>N/A</v>
      </c>
      <c r="CV8" s="83"/>
      <c r="CW8" s="83" t="str">
        <f>IF(OR(ISBLANK(AT8),ISBLANK(AV8)),"N/A",IF(ABS((AV8-AT8)/AT8)&gt;0.25,"&gt; 25%","ok"))</f>
        <v>N/A</v>
      </c>
      <c r="CX8" s="83"/>
      <c r="CY8" s="83" t="str">
        <f>IF(OR(ISBLANK(AV8),ISBLANK(AX8)),"N/A",IF(ABS((AX8-AV8)/AV8)&gt;0.25,"&gt; 25%","ok"))</f>
        <v>N/A</v>
      </c>
      <c r="CZ8" s="83"/>
      <c r="DA8" s="83" t="str">
        <f>IF(OR(ISBLANK(AX8),ISBLANK(AZ8)),"N/A",IF(ABS((AZ8-AX8)/AX8)&gt;0.25,"&gt; 25%","ok"))</f>
        <v>N/A</v>
      </c>
    </row>
    <row r="9" spans="1:105" s="202" customFormat="1" ht="15" customHeight="1">
      <c r="A9" s="180"/>
      <c r="B9" s="237">
        <v>2416</v>
      </c>
      <c r="C9" s="255">
        <v>2</v>
      </c>
      <c r="D9" s="252" t="s">
        <v>16</v>
      </c>
      <c r="E9" s="255" t="s">
        <v>313</v>
      </c>
      <c r="F9" s="602"/>
      <c r="G9" s="585"/>
      <c r="H9" s="602"/>
      <c r="I9" s="585"/>
      <c r="J9" s="602"/>
      <c r="K9" s="585"/>
      <c r="L9" s="602"/>
      <c r="M9" s="585"/>
      <c r="N9" s="602"/>
      <c r="O9" s="585"/>
      <c r="P9" s="602"/>
      <c r="Q9" s="585"/>
      <c r="R9" s="602"/>
      <c r="S9" s="585"/>
      <c r="T9" s="602"/>
      <c r="U9" s="585"/>
      <c r="V9" s="602"/>
      <c r="W9" s="585"/>
      <c r="X9" s="602"/>
      <c r="Y9" s="585"/>
      <c r="Z9" s="602"/>
      <c r="AA9" s="585"/>
      <c r="AB9" s="602"/>
      <c r="AC9" s="585"/>
      <c r="AD9" s="602"/>
      <c r="AE9" s="585"/>
      <c r="AF9" s="602"/>
      <c r="AG9" s="585"/>
      <c r="AH9" s="602"/>
      <c r="AI9" s="585"/>
      <c r="AJ9" s="602"/>
      <c r="AK9" s="585"/>
      <c r="AL9" s="602"/>
      <c r="AM9" s="585"/>
      <c r="AN9" s="602"/>
      <c r="AO9" s="585"/>
      <c r="AP9" s="602"/>
      <c r="AQ9" s="585"/>
      <c r="AR9" s="602"/>
      <c r="AS9" s="585"/>
      <c r="AT9" s="602"/>
      <c r="AU9" s="585"/>
      <c r="AV9" s="602"/>
      <c r="AW9" s="585"/>
      <c r="AX9" s="602"/>
      <c r="AY9" s="585"/>
      <c r="AZ9" s="602"/>
      <c r="BA9" s="585"/>
      <c r="BC9" s="191"/>
      <c r="BD9" s="594">
        <v>2</v>
      </c>
      <c r="BE9" s="647" t="s">
        <v>16</v>
      </c>
      <c r="BF9" s="594" t="s">
        <v>313</v>
      </c>
      <c r="BG9" s="82" t="s">
        <v>85</v>
      </c>
      <c r="BH9" s="607"/>
      <c r="BI9" s="80" t="str">
        <f>IF(OR(ISBLANK(F9),ISBLANK(H9)),"N/A",IF(ABS((H9-F9)/F9)&gt;1,"&gt; 100%","ok"))</f>
        <v>N/A</v>
      </c>
      <c r="BJ9" s="607"/>
      <c r="BK9" s="83" t="str">
        <f>IF(OR(ISBLANK(H9),ISBLANK(J9)),"N/A",IF(ABS((J9-H9)/H9)&gt;0.25,"&gt; 25%","ok"))</f>
        <v>N/A</v>
      </c>
      <c r="BL9" s="83"/>
      <c r="BM9" s="83" t="str">
        <f>IF(OR(ISBLANK(J9),ISBLANK(L9)),"N/A",IF(ABS((L9-J9)/J9)&gt;0.25,"&gt; 25%","ok"))</f>
        <v>N/A</v>
      </c>
      <c r="BN9" s="83"/>
      <c r="BO9" s="83" t="str">
        <f>IF(OR(ISBLANK(L9),ISBLANK(N9)),"N/A",IF(ABS((N9-L9)/L9)&gt;0.25,"&gt; 25%","ok"))</f>
        <v>N/A</v>
      </c>
      <c r="BP9" s="83"/>
      <c r="BQ9" s="83" t="str">
        <f>IF(OR(ISBLANK(N9),ISBLANK(P9)),"N/A",IF(ABS((P9-N9)/N9)&gt;0.25,"&gt; 25%","ok"))</f>
        <v>N/A</v>
      </c>
      <c r="BR9" s="83"/>
      <c r="BS9" s="83" t="str">
        <f>IF(OR(ISBLANK(P9),ISBLANK(R9)),"N/A",IF(ABS((R9-P9)/P9)&gt;0.25,"&gt; 25%","ok"))</f>
        <v>N/A</v>
      </c>
      <c r="BT9" s="83"/>
      <c r="BU9" s="83" t="str">
        <f>IF(OR(ISBLANK(R9),ISBLANK(T9)),"N/A",IF(ABS((T9-R9)/R9)&gt;0.25,"&gt; 25%","ok"))</f>
        <v>N/A</v>
      </c>
      <c r="BV9" s="83"/>
      <c r="BW9" s="83" t="str">
        <f>IF(OR(ISBLANK(T9),ISBLANK(V9)),"N/A",IF(ABS((V9-T9)/T9)&gt;0.25,"&gt; 25%","ok"))</f>
        <v>N/A</v>
      </c>
      <c r="BX9" s="83"/>
      <c r="BY9" s="83" t="str">
        <f>IF(OR(ISBLANK(V9),ISBLANK(X9)),"N/A",IF(ABS((X9-V9)/V9)&gt;0.25,"&gt; 25%","ok"))</f>
        <v>N/A</v>
      </c>
      <c r="BZ9" s="83"/>
      <c r="CA9" s="83" t="str">
        <f>IF(OR(ISBLANK(X9),ISBLANK(Z9)),"N/A",IF(ABS((Z9-X9)/X9)&gt;0.25,"&gt; 25%","ok"))</f>
        <v>N/A</v>
      </c>
      <c r="CB9" s="83"/>
      <c r="CC9" s="83" t="str">
        <f>IF(OR(ISBLANK(Z9),ISBLANK(AB9)),"N/A",IF(ABS((AB9-Z9)/Z9)&gt;0.25,"&gt; 25%","ok"))</f>
        <v>N/A</v>
      </c>
      <c r="CD9" s="83"/>
      <c r="CE9" s="83" t="str">
        <f>IF(OR(ISBLANK(AB9),ISBLANK(AD9)),"N/A",IF(ABS((AD9-AB9)/AB9)&gt;0.25,"&gt; 25%","ok"))</f>
        <v>N/A</v>
      </c>
      <c r="CF9" s="83"/>
      <c r="CG9" s="83" t="str">
        <f>IF(OR(ISBLANK(AD9),ISBLANK(AF9)),"N/A",IF(ABS((AF9-AD9)/AD9)&gt;0.25,"&gt; 25%","ok"))</f>
        <v>N/A</v>
      </c>
      <c r="CH9" s="83"/>
      <c r="CI9" s="83" t="str">
        <f>IF(OR(ISBLANK(AF9),ISBLANK(AH9)),"N/A",IF(ABS((AH9-AF9)/AF9)&gt;0.25,"&gt; 25%","ok"))</f>
        <v>N/A</v>
      </c>
      <c r="CJ9" s="83"/>
      <c r="CK9" s="83" t="str">
        <f>IF(OR(ISBLANK(AH9),ISBLANK(AJ9)),"N/A",IF(ABS((AJ9-AH9)/AH9)&gt;0.25,"&gt; 25%","ok"))</f>
        <v>N/A</v>
      </c>
      <c r="CL9" s="83"/>
      <c r="CM9" s="83" t="str">
        <f>IF(OR(ISBLANK(AJ9),ISBLANK(AL9)),"N/A",IF(ABS((AL9-AJ9)/AJ9)&gt;0.25,"&gt; 25%","ok"))</f>
        <v>N/A</v>
      </c>
      <c r="CN9" s="83"/>
      <c r="CO9" s="83" t="str">
        <f>IF(OR(ISBLANK(AL9),ISBLANK(AN9)),"N/A",IF(ABS((AN9-AL9)/AL9)&gt;0.25,"&gt; 25%","ok"))</f>
        <v>N/A</v>
      </c>
      <c r="CP9" s="83"/>
      <c r="CQ9" s="83" t="str">
        <f>IF(OR(ISBLANK(AN9),ISBLANK(AP9)),"N/A",IF(ABS((AP9-AN9)/AN9)&gt;0.25,"&gt; 25%","ok"))</f>
        <v>N/A</v>
      </c>
      <c r="CR9" s="83"/>
      <c r="CS9" s="83" t="str">
        <f>IF(OR(ISBLANK(AP9),ISBLANK(AR9)),"N/A",IF(ABS((AR9-AP9)/AP9)&gt;0.25,"&gt; 25%","ok"))</f>
        <v>N/A</v>
      </c>
      <c r="CT9" s="83"/>
      <c r="CU9" s="83" t="str">
        <f>IF(OR(ISBLANK(AR9),ISBLANK(AT9)),"N/A",IF(ABS((AT9-AR9)/AR9)&gt;0.25,"&gt; 25%","ok"))</f>
        <v>N/A</v>
      </c>
      <c r="CV9" s="83"/>
      <c r="CW9" s="83" t="str">
        <f>IF(OR(ISBLANK(AT9),ISBLANK(AV9)),"N/A",IF(ABS((AV9-AT9)/AT9)&gt;0.25,"&gt; 25%","ok"))</f>
        <v>N/A</v>
      </c>
      <c r="CX9" s="83"/>
      <c r="CY9" s="83" t="str">
        <f>IF(OR(ISBLANK(AV9),ISBLANK(AX9)),"N/A",IF(ABS((AX9-AV9)/AV9)&gt;0.25,"&gt; 25%","ok"))</f>
        <v>N/A</v>
      </c>
      <c r="CZ9" s="83"/>
      <c r="DA9" s="83" t="str">
        <f aca="true" t="shared" si="0" ref="DA9:DA23">IF(OR(ISBLANK(AX9),ISBLANK(AZ9)),"N/A",IF(ABS((AZ9-AX9)/AX9)&gt;0.25,"&gt; 25%","ok"))</f>
        <v>N/A</v>
      </c>
    </row>
    <row r="10" spans="1:105" s="442" customFormat="1" ht="35.25" customHeight="1">
      <c r="A10" s="441" t="s">
        <v>68</v>
      </c>
      <c r="B10" s="237">
        <v>29</v>
      </c>
      <c r="C10" s="372">
        <v>3</v>
      </c>
      <c r="D10" s="254" t="s">
        <v>560</v>
      </c>
      <c r="E10" s="255" t="s">
        <v>313</v>
      </c>
      <c r="F10" s="602"/>
      <c r="G10" s="585"/>
      <c r="H10" s="602"/>
      <c r="I10" s="585"/>
      <c r="J10" s="602"/>
      <c r="K10" s="585"/>
      <c r="L10" s="602"/>
      <c r="M10" s="585"/>
      <c r="N10" s="602"/>
      <c r="O10" s="585"/>
      <c r="P10" s="602"/>
      <c r="Q10" s="585"/>
      <c r="R10" s="602"/>
      <c r="S10" s="585"/>
      <c r="T10" s="602"/>
      <c r="U10" s="585"/>
      <c r="V10" s="602"/>
      <c r="W10" s="585"/>
      <c r="X10" s="602"/>
      <c r="Y10" s="585"/>
      <c r="Z10" s="602"/>
      <c r="AA10" s="585"/>
      <c r="AB10" s="602"/>
      <c r="AC10" s="585"/>
      <c r="AD10" s="602"/>
      <c r="AE10" s="585"/>
      <c r="AF10" s="602"/>
      <c r="AG10" s="585"/>
      <c r="AH10" s="602"/>
      <c r="AI10" s="585"/>
      <c r="AJ10" s="602"/>
      <c r="AK10" s="585"/>
      <c r="AL10" s="602"/>
      <c r="AM10" s="585"/>
      <c r="AN10" s="602"/>
      <c r="AO10" s="585"/>
      <c r="AP10" s="602"/>
      <c r="AQ10" s="585"/>
      <c r="AR10" s="602"/>
      <c r="AS10" s="585"/>
      <c r="AT10" s="602"/>
      <c r="AU10" s="585"/>
      <c r="AV10" s="602"/>
      <c r="AW10" s="585"/>
      <c r="AX10" s="602"/>
      <c r="AY10" s="585"/>
      <c r="AZ10" s="602"/>
      <c r="BA10" s="585"/>
      <c r="BC10" s="443"/>
      <c r="BD10" s="639">
        <v>3</v>
      </c>
      <c r="BE10" s="646" t="s">
        <v>560</v>
      </c>
      <c r="BF10" s="594" t="s">
        <v>313</v>
      </c>
      <c r="BG10" s="82" t="s">
        <v>85</v>
      </c>
      <c r="BH10" s="607"/>
      <c r="BI10" s="83" t="str">
        <f>IF(OR(ISBLANK(F10),ISBLANK(H10)),"N/A",IF(ABS((H10-F10)/F10)&gt;1,"&gt; 100%","ok"))</f>
        <v>N/A</v>
      </c>
      <c r="BJ10" s="607"/>
      <c r="BK10" s="83" t="str">
        <f>IF(OR(ISBLANK(H10),ISBLANK(J10)),"N/A",IF(ABS((J10-H10)/H10)&gt;0.25,"&gt; 25%","ok"))</f>
        <v>N/A</v>
      </c>
      <c r="BL10" s="83"/>
      <c r="BM10" s="83" t="str">
        <f>IF(OR(ISBLANK(J10),ISBLANK(L10)),"N/A",IF(ABS((L10-J10)/J10)&gt;0.25,"&gt; 25%","ok"))</f>
        <v>N/A</v>
      </c>
      <c r="BN10" s="83"/>
      <c r="BO10" s="83" t="str">
        <f>IF(OR(ISBLANK(L10),ISBLANK(N10)),"N/A",IF(ABS((N10-L10)/L10)&gt;0.25,"&gt; 25%","ok"))</f>
        <v>N/A</v>
      </c>
      <c r="BP10" s="83"/>
      <c r="BQ10" s="83" t="str">
        <f>IF(OR(ISBLANK(N10),ISBLANK(P10)),"N/A",IF(ABS((P10-N10)/N10)&gt;0.25,"&gt; 25%","ok"))</f>
        <v>N/A</v>
      </c>
      <c r="BR10" s="83"/>
      <c r="BS10" s="83" t="str">
        <f>IF(OR(ISBLANK(P10),ISBLANK(R10)),"N/A",IF(ABS((R10-P10)/P10)&gt;0.25,"&gt; 25%","ok"))</f>
        <v>N/A</v>
      </c>
      <c r="BT10" s="83"/>
      <c r="BU10" s="83" t="str">
        <f>IF(OR(ISBLANK(R10),ISBLANK(T10)),"N/A",IF(ABS((T10-R10)/R10)&gt;0.25,"&gt; 25%","ok"))</f>
        <v>N/A</v>
      </c>
      <c r="BV10" s="83"/>
      <c r="BW10" s="83" t="str">
        <f>IF(OR(ISBLANK(T10),ISBLANK(V10)),"N/A",IF(ABS((V10-T10)/T10)&gt;0.25,"&gt; 25%","ok"))</f>
        <v>N/A</v>
      </c>
      <c r="BX10" s="83"/>
      <c r="BY10" s="83" t="str">
        <f>IF(OR(ISBLANK(V10),ISBLANK(X10)),"N/A",IF(ABS((X10-V10)/V10)&gt;0.25,"&gt; 25%","ok"))</f>
        <v>N/A</v>
      </c>
      <c r="BZ10" s="83"/>
      <c r="CA10" s="83" t="str">
        <f>IF(OR(ISBLANK(X10),ISBLANK(Z10)),"N/A",IF(ABS((Z10-X10)/X10)&gt;0.25,"&gt; 25%","ok"))</f>
        <v>N/A</v>
      </c>
      <c r="CB10" s="83"/>
      <c r="CC10" s="83" t="str">
        <f>IF(OR(ISBLANK(Z10),ISBLANK(AB10)),"N/A",IF(ABS((AB10-Z10)/Z10)&gt;0.25,"&gt; 25%","ok"))</f>
        <v>N/A</v>
      </c>
      <c r="CD10" s="83"/>
      <c r="CE10" s="83" t="str">
        <f>IF(OR(ISBLANK(AB10),ISBLANK(AD10)),"N/A",IF(ABS((AD10-AB10)/AB10)&gt;0.25,"&gt; 25%","ok"))</f>
        <v>N/A</v>
      </c>
      <c r="CF10" s="83"/>
      <c r="CG10" s="83" t="str">
        <f>IF(OR(ISBLANK(AD10),ISBLANK(AF10)),"N/A",IF(ABS((AF10-AD10)/AD10)&gt;0.25,"&gt; 25%","ok"))</f>
        <v>N/A</v>
      </c>
      <c r="CH10" s="83"/>
      <c r="CI10" s="83" t="str">
        <f>IF(OR(ISBLANK(AF10),ISBLANK(AH10)),"N/A",IF(ABS((AH10-AF10)/AF10)&gt;0.25,"&gt; 25%","ok"))</f>
        <v>N/A</v>
      </c>
      <c r="CJ10" s="83"/>
      <c r="CK10" s="83" t="str">
        <f>IF(OR(ISBLANK(AH10),ISBLANK(AJ10)),"N/A",IF(ABS((AJ10-AH10)/AH10)&gt;0.25,"&gt; 25%","ok"))</f>
        <v>N/A</v>
      </c>
      <c r="CL10" s="83"/>
      <c r="CM10" s="83" t="str">
        <f>IF(OR(ISBLANK(AJ10),ISBLANK(AL10)),"N/A",IF(ABS((AL10-AJ10)/AJ10)&gt;0.25,"&gt; 25%","ok"))</f>
        <v>N/A</v>
      </c>
      <c r="CN10" s="83"/>
      <c r="CO10" s="83" t="str">
        <f>IF(OR(ISBLANK(AL10),ISBLANK(AN10)),"N/A",IF(ABS((AN10-AL10)/AL10)&gt;0.25,"&gt; 25%","ok"))</f>
        <v>N/A</v>
      </c>
      <c r="CP10" s="83"/>
      <c r="CQ10" s="83" t="str">
        <f>IF(OR(ISBLANK(AN10),ISBLANK(AP10)),"N/A",IF(ABS((AP10-AN10)/AN10)&gt;0.25,"&gt; 25%","ok"))</f>
        <v>N/A</v>
      </c>
      <c r="CR10" s="83"/>
      <c r="CS10" s="83" t="str">
        <f>IF(OR(ISBLANK(AP10),ISBLANK(AR10)),"N/A",IF(ABS((AR10-AP10)/AP10)&gt;0.25,"&gt; 25%","ok"))</f>
        <v>N/A</v>
      </c>
      <c r="CT10" s="83"/>
      <c r="CU10" s="83" t="str">
        <f>IF(OR(ISBLANK(AR10),ISBLANK(AT10)),"N/A",IF(ABS((AT10-AR10)/AR10)&gt;0.25,"&gt; 25%","ok"))</f>
        <v>N/A</v>
      </c>
      <c r="CV10" s="83"/>
      <c r="CW10" s="83" t="str">
        <f>IF(OR(ISBLANK(AT10),ISBLANK(AV10)),"N/A",IF(ABS((AV10-AT10)/AT10)&gt;0.25,"&gt; 25%","ok"))</f>
        <v>N/A</v>
      </c>
      <c r="CX10" s="83"/>
      <c r="CY10" s="83" t="str">
        <f>IF(OR(ISBLANK(AV10),ISBLANK(AX10)),"N/A",IF(ABS((AX10-AV10)/AV10)&gt;0.25,"&gt; 25%","ok"))</f>
        <v>N/A</v>
      </c>
      <c r="CZ10" s="83"/>
      <c r="DA10" s="83" t="str">
        <f t="shared" si="0"/>
        <v>N/A</v>
      </c>
    </row>
    <row r="11" spans="1:105" s="442" customFormat="1" ht="15" customHeight="1">
      <c r="A11" s="444"/>
      <c r="B11" s="237">
        <v>5008</v>
      </c>
      <c r="C11" s="637"/>
      <c r="D11" s="638" t="s">
        <v>17</v>
      </c>
      <c r="E11" s="639"/>
      <c r="F11" s="595"/>
      <c r="G11" s="596"/>
      <c r="H11" s="595"/>
      <c r="I11" s="596"/>
      <c r="J11" s="595"/>
      <c r="K11" s="596"/>
      <c r="L11" s="595"/>
      <c r="M11" s="596"/>
      <c r="N11" s="595"/>
      <c r="O11" s="596"/>
      <c r="P11" s="595"/>
      <c r="Q11" s="596"/>
      <c r="R11" s="595"/>
      <c r="S11" s="596"/>
      <c r="T11" s="595"/>
      <c r="U11" s="596"/>
      <c r="V11" s="595"/>
      <c r="W11" s="596"/>
      <c r="X11" s="595"/>
      <c r="Y11" s="596"/>
      <c r="Z11" s="595"/>
      <c r="AA11" s="596"/>
      <c r="AB11" s="595"/>
      <c r="AC11" s="596"/>
      <c r="AD11" s="595"/>
      <c r="AE11" s="596"/>
      <c r="AF11" s="595"/>
      <c r="AG11" s="596"/>
      <c r="AH11" s="595"/>
      <c r="AI11" s="596"/>
      <c r="AJ11" s="595"/>
      <c r="AK11" s="596"/>
      <c r="AL11" s="595"/>
      <c r="AM11" s="596"/>
      <c r="AN11" s="595"/>
      <c r="AO11" s="596"/>
      <c r="AP11" s="595"/>
      <c r="AQ11" s="596"/>
      <c r="AR11" s="595"/>
      <c r="AS11" s="596"/>
      <c r="AT11" s="595"/>
      <c r="AU11" s="596"/>
      <c r="AV11" s="595"/>
      <c r="AW11" s="596"/>
      <c r="AX11" s="595"/>
      <c r="AY11" s="596"/>
      <c r="AZ11" s="595"/>
      <c r="BA11" s="596"/>
      <c r="BC11" s="443"/>
      <c r="BD11" s="637"/>
      <c r="BE11" s="638" t="s">
        <v>17</v>
      </c>
      <c r="BF11" s="639"/>
      <c r="BG11" s="97"/>
      <c r="BH11" s="606"/>
      <c r="BI11" s="80"/>
      <c r="BJ11" s="606"/>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row>
    <row r="12" spans="1:105" s="447" customFormat="1" ht="15" customHeight="1">
      <c r="A12" s="230"/>
      <c r="B12" s="237">
        <v>38</v>
      </c>
      <c r="C12" s="240">
        <v>4</v>
      </c>
      <c r="D12" s="446" t="s">
        <v>331</v>
      </c>
      <c r="E12" s="246" t="s">
        <v>313</v>
      </c>
      <c r="F12" s="573"/>
      <c r="G12" s="583"/>
      <c r="H12" s="573"/>
      <c r="I12" s="583"/>
      <c r="J12" s="573"/>
      <c r="K12" s="583"/>
      <c r="L12" s="573"/>
      <c r="M12" s="583"/>
      <c r="N12" s="573"/>
      <c r="O12" s="583"/>
      <c r="P12" s="573"/>
      <c r="Q12" s="583"/>
      <c r="R12" s="573"/>
      <c r="S12" s="583"/>
      <c r="T12" s="573"/>
      <c r="U12" s="583"/>
      <c r="V12" s="573"/>
      <c r="W12" s="583"/>
      <c r="X12" s="573"/>
      <c r="Y12" s="583"/>
      <c r="Z12" s="573"/>
      <c r="AA12" s="583"/>
      <c r="AB12" s="573"/>
      <c r="AC12" s="583"/>
      <c r="AD12" s="573"/>
      <c r="AE12" s="583"/>
      <c r="AF12" s="573"/>
      <c r="AG12" s="583"/>
      <c r="AH12" s="573"/>
      <c r="AI12" s="583"/>
      <c r="AJ12" s="573"/>
      <c r="AK12" s="583"/>
      <c r="AL12" s="573"/>
      <c r="AM12" s="583"/>
      <c r="AN12" s="573"/>
      <c r="AO12" s="583"/>
      <c r="AP12" s="573"/>
      <c r="AQ12" s="583"/>
      <c r="AR12" s="573"/>
      <c r="AS12" s="583"/>
      <c r="AT12" s="573"/>
      <c r="AU12" s="583"/>
      <c r="AV12" s="573"/>
      <c r="AW12" s="583"/>
      <c r="AX12" s="573"/>
      <c r="AY12" s="583"/>
      <c r="AZ12" s="573"/>
      <c r="BA12" s="583"/>
      <c r="BC12" s="448"/>
      <c r="BD12" s="642">
        <v>4</v>
      </c>
      <c r="BE12" s="648" t="s">
        <v>331</v>
      </c>
      <c r="BF12" s="594" t="s">
        <v>313</v>
      </c>
      <c r="BG12" s="80" t="s">
        <v>85</v>
      </c>
      <c r="BH12" s="606"/>
      <c r="BI12" s="80" t="str">
        <f aca="true" t="shared" si="1" ref="BI12:BI19">IF(OR(ISBLANK(F12),ISBLANK(H12)),"N/A",IF(ABS((H12-F12)/F12)&gt;1,"&gt; 100%","ok"))</f>
        <v>N/A</v>
      </c>
      <c r="BJ12" s="606"/>
      <c r="BK12" s="83" t="str">
        <f aca="true" t="shared" si="2" ref="BK12:BK19">IF(OR(ISBLANK(H12),ISBLANK(J12)),"N/A",IF(ABS((J12-H12)/H12)&gt;0.25,"&gt; 25%","ok"))</f>
        <v>N/A</v>
      </c>
      <c r="BL12" s="83"/>
      <c r="BM12" s="83" t="str">
        <f aca="true" t="shared" si="3" ref="BM12:BM19">IF(OR(ISBLANK(J12),ISBLANK(L12)),"N/A",IF(ABS((L12-J12)/J12)&gt;0.25,"&gt; 25%","ok"))</f>
        <v>N/A</v>
      </c>
      <c r="BN12" s="83"/>
      <c r="BO12" s="83" t="str">
        <f aca="true" t="shared" si="4" ref="BO12:BO19">IF(OR(ISBLANK(L12),ISBLANK(N12)),"N/A",IF(ABS((N12-L12)/L12)&gt;0.25,"&gt; 25%","ok"))</f>
        <v>N/A</v>
      </c>
      <c r="BP12" s="83"/>
      <c r="BQ12" s="83" t="str">
        <f aca="true" t="shared" si="5" ref="BQ12:BQ19">IF(OR(ISBLANK(N12),ISBLANK(P12)),"N/A",IF(ABS((P12-N12)/N12)&gt;0.25,"&gt; 25%","ok"))</f>
        <v>N/A</v>
      </c>
      <c r="BR12" s="83"/>
      <c r="BS12" s="83" t="str">
        <f aca="true" t="shared" si="6" ref="BS12:BS19">IF(OR(ISBLANK(P12),ISBLANK(R12)),"N/A",IF(ABS((R12-P12)/P12)&gt;0.25,"&gt; 25%","ok"))</f>
        <v>N/A</v>
      </c>
      <c r="BT12" s="83"/>
      <c r="BU12" s="83" t="str">
        <f aca="true" t="shared" si="7" ref="BU12:BU19">IF(OR(ISBLANK(R12),ISBLANK(T12)),"N/A",IF(ABS((T12-R12)/R12)&gt;0.25,"&gt; 25%","ok"))</f>
        <v>N/A</v>
      </c>
      <c r="BV12" s="83"/>
      <c r="BW12" s="83" t="str">
        <f aca="true" t="shared" si="8" ref="BW12:BW19">IF(OR(ISBLANK(T12),ISBLANK(V12)),"N/A",IF(ABS((V12-T12)/T12)&gt;0.25,"&gt; 25%","ok"))</f>
        <v>N/A</v>
      </c>
      <c r="BX12" s="83"/>
      <c r="BY12" s="83" t="str">
        <f aca="true" t="shared" si="9" ref="BY12:BY19">IF(OR(ISBLANK(V12),ISBLANK(X12)),"N/A",IF(ABS((X12-V12)/V12)&gt;0.25,"&gt; 25%","ok"))</f>
        <v>N/A</v>
      </c>
      <c r="BZ12" s="83"/>
      <c r="CA12" s="83" t="str">
        <f aca="true" t="shared" si="10" ref="CA12:CA19">IF(OR(ISBLANK(X12),ISBLANK(Z12)),"N/A",IF(ABS((Z12-X12)/X12)&gt;0.25,"&gt; 25%","ok"))</f>
        <v>N/A</v>
      </c>
      <c r="CB12" s="83"/>
      <c r="CC12" s="83" t="str">
        <f aca="true" t="shared" si="11" ref="CC12:CC19">IF(OR(ISBLANK(Z12),ISBLANK(AB12)),"N/A",IF(ABS((AB12-Z12)/Z12)&gt;0.25,"&gt; 25%","ok"))</f>
        <v>N/A</v>
      </c>
      <c r="CD12" s="83"/>
      <c r="CE12" s="83" t="str">
        <f aca="true" t="shared" si="12" ref="CE12:CE19">IF(OR(ISBLANK(AB12),ISBLANK(AD12)),"N/A",IF(ABS((AD12-AB12)/AB12)&gt;0.25,"&gt; 25%","ok"))</f>
        <v>N/A</v>
      </c>
      <c r="CF12" s="83"/>
      <c r="CG12" s="83" t="str">
        <f aca="true" t="shared" si="13" ref="CG12:CG19">IF(OR(ISBLANK(AD12),ISBLANK(AF12)),"N/A",IF(ABS((AF12-AD12)/AD12)&gt;0.25,"&gt; 25%","ok"))</f>
        <v>N/A</v>
      </c>
      <c r="CH12" s="83"/>
      <c r="CI12" s="83" t="str">
        <f aca="true" t="shared" si="14" ref="CI12:CI19">IF(OR(ISBLANK(AF12),ISBLANK(AH12)),"N/A",IF(ABS((AH12-AF12)/AF12)&gt;0.25,"&gt; 25%","ok"))</f>
        <v>N/A</v>
      </c>
      <c r="CJ12" s="83"/>
      <c r="CK12" s="83" t="str">
        <f aca="true" t="shared" si="15" ref="CK12:CK19">IF(OR(ISBLANK(AH12),ISBLANK(AJ12)),"N/A",IF(ABS((AJ12-AH12)/AH12)&gt;0.25,"&gt; 25%","ok"))</f>
        <v>N/A</v>
      </c>
      <c r="CL12" s="83"/>
      <c r="CM12" s="83" t="str">
        <f aca="true" t="shared" si="16" ref="CM12:CM19">IF(OR(ISBLANK(AJ12),ISBLANK(AL12)),"N/A",IF(ABS((AL12-AJ12)/AJ12)&gt;0.25,"&gt; 25%","ok"))</f>
        <v>N/A</v>
      </c>
      <c r="CN12" s="83"/>
      <c r="CO12" s="83" t="str">
        <f aca="true" t="shared" si="17" ref="CO12:CO19">IF(OR(ISBLANK(AL12),ISBLANK(AN12)),"N/A",IF(ABS((AN12-AL12)/AL12)&gt;0.25,"&gt; 25%","ok"))</f>
        <v>N/A</v>
      </c>
      <c r="CP12" s="83"/>
      <c r="CQ12" s="83" t="str">
        <f aca="true" t="shared" si="18" ref="CQ12:CQ19">IF(OR(ISBLANK(AN12),ISBLANK(AP12)),"N/A",IF(ABS((AP12-AN12)/AN12)&gt;0.25,"&gt; 25%","ok"))</f>
        <v>N/A</v>
      </c>
      <c r="CR12" s="83"/>
      <c r="CS12" s="83" t="str">
        <f aca="true" t="shared" si="19" ref="CS12:CS19">IF(OR(ISBLANK(AP12),ISBLANK(AR12)),"N/A",IF(ABS((AR12-AP12)/AP12)&gt;0.25,"&gt; 25%","ok"))</f>
        <v>N/A</v>
      </c>
      <c r="CT12" s="83"/>
      <c r="CU12" s="83" t="str">
        <f aca="true" t="shared" si="20" ref="CU12:CU19">IF(OR(ISBLANK(AR12),ISBLANK(AT12)),"N/A",IF(ABS((AT12-AR12)/AR12)&gt;0.25,"&gt; 25%","ok"))</f>
        <v>N/A</v>
      </c>
      <c r="CV12" s="83"/>
      <c r="CW12" s="83" t="str">
        <f aca="true" t="shared" si="21" ref="CW12:CW19">IF(OR(ISBLANK(AT12),ISBLANK(AV12)),"N/A",IF(ABS((AV12-AT12)/AT12)&gt;0.25,"&gt; 25%","ok"))</f>
        <v>N/A</v>
      </c>
      <c r="CX12" s="83"/>
      <c r="CY12" s="83" t="str">
        <f aca="true" t="shared" si="22" ref="CY12:CY19">IF(OR(ISBLANK(AV12),ISBLANK(AX12)),"N/A",IF(ABS((AX12-AV12)/AV12)&gt;0.25,"&gt; 25%","ok"))</f>
        <v>N/A</v>
      </c>
      <c r="CZ12" s="83"/>
      <c r="DA12" s="83" t="str">
        <f t="shared" si="0"/>
        <v>N/A</v>
      </c>
    </row>
    <row r="13" spans="2:105" ht="15" customHeight="1">
      <c r="B13" s="237">
        <v>81</v>
      </c>
      <c r="C13" s="255">
        <v>5</v>
      </c>
      <c r="D13" s="450" t="s">
        <v>122</v>
      </c>
      <c r="E13" s="246" t="s">
        <v>313</v>
      </c>
      <c r="F13" s="601"/>
      <c r="G13" s="584"/>
      <c r="H13" s="601"/>
      <c r="I13" s="584"/>
      <c r="J13" s="601"/>
      <c r="K13" s="584"/>
      <c r="L13" s="601"/>
      <c r="M13" s="584"/>
      <c r="N13" s="601"/>
      <c r="O13" s="584"/>
      <c r="P13" s="601"/>
      <c r="Q13" s="584"/>
      <c r="R13" s="601"/>
      <c r="S13" s="584"/>
      <c r="T13" s="601"/>
      <c r="U13" s="584"/>
      <c r="V13" s="601"/>
      <c r="W13" s="584"/>
      <c r="X13" s="601"/>
      <c r="Y13" s="584"/>
      <c r="Z13" s="601"/>
      <c r="AA13" s="584"/>
      <c r="AB13" s="601"/>
      <c r="AC13" s="584"/>
      <c r="AD13" s="601"/>
      <c r="AE13" s="584"/>
      <c r="AF13" s="601"/>
      <c r="AG13" s="584"/>
      <c r="AH13" s="601"/>
      <c r="AI13" s="584"/>
      <c r="AJ13" s="601"/>
      <c r="AK13" s="584"/>
      <c r="AL13" s="601"/>
      <c r="AM13" s="584"/>
      <c r="AN13" s="601"/>
      <c r="AO13" s="584"/>
      <c r="AP13" s="601"/>
      <c r="AQ13" s="584"/>
      <c r="AR13" s="601"/>
      <c r="AS13" s="584"/>
      <c r="AT13" s="601"/>
      <c r="AU13" s="584"/>
      <c r="AV13" s="601"/>
      <c r="AW13" s="584"/>
      <c r="AX13" s="601"/>
      <c r="AY13" s="584"/>
      <c r="AZ13" s="601"/>
      <c r="BA13" s="584"/>
      <c r="BD13" s="594">
        <v>5</v>
      </c>
      <c r="BE13" s="649" t="s">
        <v>122</v>
      </c>
      <c r="BF13" s="594" t="s">
        <v>313</v>
      </c>
      <c r="BG13" s="82" t="s">
        <v>85</v>
      </c>
      <c r="BH13" s="607"/>
      <c r="BI13" s="80" t="str">
        <f t="shared" si="1"/>
        <v>N/A</v>
      </c>
      <c r="BJ13" s="607"/>
      <c r="BK13" s="83" t="str">
        <f t="shared" si="2"/>
        <v>N/A</v>
      </c>
      <c r="BL13" s="83"/>
      <c r="BM13" s="83" t="str">
        <f t="shared" si="3"/>
        <v>N/A</v>
      </c>
      <c r="BN13" s="83"/>
      <c r="BO13" s="83" t="str">
        <f t="shared" si="4"/>
        <v>N/A</v>
      </c>
      <c r="BP13" s="83"/>
      <c r="BQ13" s="83" t="str">
        <f t="shared" si="5"/>
        <v>N/A</v>
      </c>
      <c r="BR13" s="83"/>
      <c r="BS13" s="83" t="str">
        <f t="shared" si="6"/>
        <v>N/A</v>
      </c>
      <c r="BT13" s="83"/>
      <c r="BU13" s="83" t="str">
        <f t="shared" si="7"/>
        <v>N/A</v>
      </c>
      <c r="BV13" s="83"/>
      <c r="BW13" s="83" t="str">
        <f t="shared" si="8"/>
        <v>N/A</v>
      </c>
      <c r="BX13" s="83"/>
      <c r="BY13" s="83" t="str">
        <f t="shared" si="9"/>
        <v>N/A</v>
      </c>
      <c r="BZ13" s="83"/>
      <c r="CA13" s="83" t="str">
        <f t="shared" si="10"/>
        <v>N/A</v>
      </c>
      <c r="CB13" s="83"/>
      <c r="CC13" s="83" t="str">
        <f t="shared" si="11"/>
        <v>N/A</v>
      </c>
      <c r="CD13" s="83"/>
      <c r="CE13" s="83" t="str">
        <f t="shared" si="12"/>
        <v>N/A</v>
      </c>
      <c r="CF13" s="83"/>
      <c r="CG13" s="83" t="str">
        <f t="shared" si="13"/>
        <v>N/A</v>
      </c>
      <c r="CH13" s="83"/>
      <c r="CI13" s="83" t="str">
        <f t="shared" si="14"/>
        <v>N/A</v>
      </c>
      <c r="CJ13" s="83"/>
      <c r="CK13" s="83" t="str">
        <f t="shared" si="15"/>
        <v>N/A</v>
      </c>
      <c r="CL13" s="83"/>
      <c r="CM13" s="83" t="str">
        <f t="shared" si="16"/>
        <v>N/A</v>
      </c>
      <c r="CN13" s="83"/>
      <c r="CO13" s="83" t="str">
        <f t="shared" si="17"/>
        <v>N/A</v>
      </c>
      <c r="CP13" s="83"/>
      <c r="CQ13" s="83" t="str">
        <f t="shared" si="18"/>
        <v>N/A</v>
      </c>
      <c r="CR13" s="83"/>
      <c r="CS13" s="83" t="str">
        <f t="shared" si="19"/>
        <v>N/A</v>
      </c>
      <c r="CT13" s="83"/>
      <c r="CU13" s="83" t="str">
        <f t="shared" si="20"/>
        <v>N/A</v>
      </c>
      <c r="CV13" s="83"/>
      <c r="CW13" s="83" t="str">
        <f t="shared" si="21"/>
        <v>N/A</v>
      </c>
      <c r="CX13" s="83"/>
      <c r="CY13" s="83" t="str">
        <f t="shared" si="22"/>
        <v>N/A</v>
      </c>
      <c r="CZ13" s="83"/>
      <c r="DA13" s="83" t="str">
        <f t="shared" si="0"/>
        <v>N/A</v>
      </c>
    </row>
    <row r="14" spans="2:105" ht="15" customHeight="1">
      <c r="B14" s="237">
        <v>42</v>
      </c>
      <c r="C14" s="255">
        <v>6</v>
      </c>
      <c r="D14" s="450" t="s">
        <v>538</v>
      </c>
      <c r="E14" s="246" t="s">
        <v>313</v>
      </c>
      <c r="F14" s="601"/>
      <c r="G14" s="584"/>
      <c r="H14" s="601"/>
      <c r="I14" s="584"/>
      <c r="J14" s="601"/>
      <c r="K14" s="584"/>
      <c r="L14" s="601"/>
      <c r="M14" s="584"/>
      <c r="N14" s="601"/>
      <c r="O14" s="584"/>
      <c r="P14" s="601"/>
      <c r="Q14" s="584"/>
      <c r="R14" s="601"/>
      <c r="S14" s="584"/>
      <c r="T14" s="601"/>
      <c r="U14" s="584"/>
      <c r="V14" s="601"/>
      <c r="W14" s="584"/>
      <c r="X14" s="601"/>
      <c r="Y14" s="584"/>
      <c r="Z14" s="601"/>
      <c r="AA14" s="584"/>
      <c r="AB14" s="601"/>
      <c r="AC14" s="584"/>
      <c r="AD14" s="601"/>
      <c r="AE14" s="584"/>
      <c r="AF14" s="601"/>
      <c r="AG14" s="584"/>
      <c r="AH14" s="601"/>
      <c r="AI14" s="584"/>
      <c r="AJ14" s="601"/>
      <c r="AK14" s="584"/>
      <c r="AL14" s="601"/>
      <c r="AM14" s="584"/>
      <c r="AN14" s="601"/>
      <c r="AO14" s="584"/>
      <c r="AP14" s="601"/>
      <c r="AQ14" s="584"/>
      <c r="AR14" s="601"/>
      <c r="AS14" s="584"/>
      <c r="AT14" s="601"/>
      <c r="AU14" s="584"/>
      <c r="AV14" s="601"/>
      <c r="AW14" s="584"/>
      <c r="AX14" s="601"/>
      <c r="AY14" s="584"/>
      <c r="AZ14" s="601"/>
      <c r="BA14" s="584"/>
      <c r="BD14" s="594">
        <v>6</v>
      </c>
      <c r="BE14" s="649" t="s">
        <v>538</v>
      </c>
      <c r="BF14" s="594" t="s">
        <v>313</v>
      </c>
      <c r="BG14" s="82"/>
      <c r="BH14" s="607"/>
      <c r="BI14" s="80" t="str">
        <f t="shared" si="1"/>
        <v>N/A</v>
      </c>
      <c r="BJ14" s="607"/>
      <c r="BK14" s="83" t="str">
        <f t="shared" si="2"/>
        <v>N/A</v>
      </c>
      <c r="BL14" s="83"/>
      <c r="BM14" s="83" t="str">
        <f t="shared" si="3"/>
        <v>N/A</v>
      </c>
      <c r="BN14" s="83"/>
      <c r="BO14" s="83" t="str">
        <f t="shared" si="4"/>
        <v>N/A</v>
      </c>
      <c r="BP14" s="83"/>
      <c r="BQ14" s="83" t="str">
        <f t="shared" si="5"/>
        <v>N/A</v>
      </c>
      <c r="BR14" s="83"/>
      <c r="BS14" s="83" t="str">
        <f t="shared" si="6"/>
        <v>N/A</v>
      </c>
      <c r="BT14" s="83"/>
      <c r="BU14" s="83" t="str">
        <f t="shared" si="7"/>
        <v>N/A</v>
      </c>
      <c r="BV14" s="83"/>
      <c r="BW14" s="83" t="str">
        <f t="shared" si="8"/>
        <v>N/A</v>
      </c>
      <c r="BX14" s="83"/>
      <c r="BY14" s="83" t="str">
        <f t="shared" si="9"/>
        <v>N/A</v>
      </c>
      <c r="BZ14" s="83"/>
      <c r="CA14" s="83" t="str">
        <f t="shared" si="10"/>
        <v>N/A</v>
      </c>
      <c r="CB14" s="83"/>
      <c r="CC14" s="83" t="str">
        <f t="shared" si="11"/>
        <v>N/A</v>
      </c>
      <c r="CD14" s="83"/>
      <c r="CE14" s="83" t="str">
        <f t="shared" si="12"/>
        <v>N/A</v>
      </c>
      <c r="CF14" s="83"/>
      <c r="CG14" s="83" t="str">
        <f t="shared" si="13"/>
        <v>N/A</v>
      </c>
      <c r="CH14" s="83"/>
      <c r="CI14" s="83" t="str">
        <f t="shared" si="14"/>
        <v>N/A</v>
      </c>
      <c r="CJ14" s="83"/>
      <c r="CK14" s="83" t="str">
        <f t="shared" si="15"/>
        <v>N/A</v>
      </c>
      <c r="CL14" s="83"/>
      <c r="CM14" s="83" t="str">
        <f t="shared" si="16"/>
        <v>N/A</v>
      </c>
      <c r="CN14" s="83"/>
      <c r="CO14" s="83" t="str">
        <f t="shared" si="17"/>
        <v>N/A</v>
      </c>
      <c r="CP14" s="83"/>
      <c r="CQ14" s="83" t="str">
        <f t="shared" si="18"/>
        <v>N/A</v>
      </c>
      <c r="CR14" s="83"/>
      <c r="CS14" s="83" t="str">
        <f t="shared" si="19"/>
        <v>N/A</v>
      </c>
      <c r="CT14" s="83"/>
      <c r="CU14" s="83" t="str">
        <f t="shared" si="20"/>
        <v>N/A</v>
      </c>
      <c r="CV14" s="83"/>
      <c r="CW14" s="83" t="str">
        <f t="shared" si="21"/>
        <v>N/A</v>
      </c>
      <c r="CX14" s="83"/>
      <c r="CY14" s="83" t="str">
        <f t="shared" si="22"/>
        <v>N/A</v>
      </c>
      <c r="CZ14" s="83"/>
      <c r="DA14" s="83" t="str">
        <f>IF(OR(ISBLANK(AX14),ISBLANK(AZ14)),"N/A",IF(ABS((AZ14-AX14)/AX14)&gt;0.25,"&gt; 25%","ok"))</f>
        <v>N/A</v>
      </c>
    </row>
    <row r="15" spans="2:105" ht="15" customHeight="1">
      <c r="B15" s="237">
        <v>33</v>
      </c>
      <c r="C15" s="255">
        <v>7</v>
      </c>
      <c r="D15" s="450" t="s">
        <v>505</v>
      </c>
      <c r="E15" s="246" t="s">
        <v>313</v>
      </c>
      <c r="F15" s="601"/>
      <c r="G15" s="584"/>
      <c r="H15" s="601"/>
      <c r="I15" s="584"/>
      <c r="J15" s="601"/>
      <c r="K15" s="584"/>
      <c r="L15" s="601"/>
      <c r="M15" s="584"/>
      <c r="N15" s="601"/>
      <c r="O15" s="584"/>
      <c r="P15" s="601"/>
      <c r="Q15" s="584"/>
      <c r="R15" s="601"/>
      <c r="S15" s="584"/>
      <c r="T15" s="601"/>
      <c r="U15" s="584"/>
      <c r="V15" s="601"/>
      <c r="W15" s="584"/>
      <c r="X15" s="601"/>
      <c r="Y15" s="584"/>
      <c r="Z15" s="601"/>
      <c r="AA15" s="584"/>
      <c r="AB15" s="601"/>
      <c r="AC15" s="584"/>
      <c r="AD15" s="601"/>
      <c r="AE15" s="584"/>
      <c r="AF15" s="601"/>
      <c r="AG15" s="584"/>
      <c r="AH15" s="601"/>
      <c r="AI15" s="584"/>
      <c r="AJ15" s="601"/>
      <c r="AK15" s="584"/>
      <c r="AL15" s="601"/>
      <c r="AM15" s="584"/>
      <c r="AN15" s="601"/>
      <c r="AO15" s="584"/>
      <c r="AP15" s="601"/>
      <c r="AQ15" s="584"/>
      <c r="AR15" s="601"/>
      <c r="AS15" s="584"/>
      <c r="AT15" s="601"/>
      <c r="AU15" s="584"/>
      <c r="AV15" s="601"/>
      <c r="AW15" s="584"/>
      <c r="AX15" s="601"/>
      <c r="AY15" s="584"/>
      <c r="AZ15" s="601"/>
      <c r="BA15" s="584"/>
      <c r="BD15" s="594">
        <v>7</v>
      </c>
      <c r="BE15" s="649" t="s">
        <v>505</v>
      </c>
      <c r="BF15" s="594" t="s">
        <v>313</v>
      </c>
      <c r="BG15" s="82" t="s">
        <v>85</v>
      </c>
      <c r="BH15" s="607"/>
      <c r="BI15" s="80" t="str">
        <f t="shared" si="1"/>
        <v>N/A</v>
      </c>
      <c r="BJ15" s="607"/>
      <c r="BK15" s="83" t="str">
        <f t="shared" si="2"/>
        <v>N/A</v>
      </c>
      <c r="BL15" s="83"/>
      <c r="BM15" s="83" t="str">
        <f t="shared" si="3"/>
        <v>N/A</v>
      </c>
      <c r="BN15" s="83"/>
      <c r="BO15" s="83" t="str">
        <f t="shared" si="4"/>
        <v>N/A</v>
      </c>
      <c r="BP15" s="83"/>
      <c r="BQ15" s="83" t="str">
        <f t="shared" si="5"/>
        <v>N/A</v>
      </c>
      <c r="BR15" s="83"/>
      <c r="BS15" s="83" t="str">
        <f t="shared" si="6"/>
        <v>N/A</v>
      </c>
      <c r="BT15" s="83"/>
      <c r="BU15" s="83" t="str">
        <f t="shared" si="7"/>
        <v>N/A</v>
      </c>
      <c r="BV15" s="83"/>
      <c r="BW15" s="83" t="str">
        <f t="shared" si="8"/>
        <v>N/A</v>
      </c>
      <c r="BX15" s="83"/>
      <c r="BY15" s="83" t="str">
        <f t="shared" si="9"/>
        <v>N/A</v>
      </c>
      <c r="BZ15" s="83"/>
      <c r="CA15" s="83" t="str">
        <f t="shared" si="10"/>
        <v>N/A</v>
      </c>
      <c r="CB15" s="83"/>
      <c r="CC15" s="83" t="str">
        <f t="shared" si="11"/>
        <v>N/A</v>
      </c>
      <c r="CD15" s="83"/>
      <c r="CE15" s="83" t="str">
        <f t="shared" si="12"/>
        <v>N/A</v>
      </c>
      <c r="CF15" s="83"/>
      <c r="CG15" s="83" t="str">
        <f t="shared" si="13"/>
        <v>N/A</v>
      </c>
      <c r="CH15" s="83"/>
      <c r="CI15" s="83" t="str">
        <f t="shared" si="14"/>
        <v>N/A</v>
      </c>
      <c r="CJ15" s="83"/>
      <c r="CK15" s="83" t="str">
        <f t="shared" si="15"/>
        <v>N/A</v>
      </c>
      <c r="CL15" s="83"/>
      <c r="CM15" s="83" t="str">
        <f t="shared" si="16"/>
        <v>N/A</v>
      </c>
      <c r="CN15" s="83"/>
      <c r="CO15" s="83" t="str">
        <f t="shared" si="17"/>
        <v>N/A</v>
      </c>
      <c r="CP15" s="83"/>
      <c r="CQ15" s="83" t="str">
        <f t="shared" si="18"/>
        <v>N/A</v>
      </c>
      <c r="CR15" s="83"/>
      <c r="CS15" s="83" t="str">
        <f t="shared" si="19"/>
        <v>N/A</v>
      </c>
      <c r="CT15" s="83"/>
      <c r="CU15" s="83" t="str">
        <f t="shared" si="20"/>
        <v>N/A</v>
      </c>
      <c r="CV15" s="83"/>
      <c r="CW15" s="83" t="str">
        <f t="shared" si="21"/>
        <v>N/A</v>
      </c>
      <c r="CX15" s="83"/>
      <c r="CY15" s="83" t="str">
        <f t="shared" si="22"/>
        <v>N/A</v>
      </c>
      <c r="CZ15" s="83"/>
      <c r="DA15" s="83" t="str">
        <f t="shared" si="0"/>
        <v>N/A</v>
      </c>
    </row>
    <row r="16" spans="2:105" ht="21.75" customHeight="1">
      <c r="B16" s="237">
        <v>44</v>
      </c>
      <c r="C16" s="240">
        <v>8</v>
      </c>
      <c r="D16" s="446" t="s">
        <v>535</v>
      </c>
      <c r="E16" s="246" t="s">
        <v>313</v>
      </c>
      <c r="F16" s="601"/>
      <c r="G16" s="584"/>
      <c r="H16" s="601"/>
      <c r="I16" s="584"/>
      <c r="J16" s="601"/>
      <c r="K16" s="584"/>
      <c r="L16" s="601"/>
      <c r="M16" s="584"/>
      <c r="N16" s="601"/>
      <c r="O16" s="584"/>
      <c r="P16" s="601"/>
      <c r="Q16" s="584"/>
      <c r="R16" s="601"/>
      <c r="S16" s="584"/>
      <c r="T16" s="601"/>
      <c r="U16" s="584"/>
      <c r="V16" s="601"/>
      <c r="W16" s="584"/>
      <c r="X16" s="601"/>
      <c r="Y16" s="584"/>
      <c r="Z16" s="601"/>
      <c r="AA16" s="584"/>
      <c r="AB16" s="601"/>
      <c r="AC16" s="584"/>
      <c r="AD16" s="601"/>
      <c r="AE16" s="584"/>
      <c r="AF16" s="601"/>
      <c r="AG16" s="584"/>
      <c r="AH16" s="601"/>
      <c r="AI16" s="584"/>
      <c r="AJ16" s="601"/>
      <c r="AK16" s="584"/>
      <c r="AL16" s="601"/>
      <c r="AM16" s="584"/>
      <c r="AN16" s="601"/>
      <c r="AO16" s="584"/>
      <c r="AP16" s="601"/>
      <c r="AQ16" s="584"/>
      <c r="AR16" s="601"/>
      <c r="AS16" s="584"/>
      <c r="AT16" s="601"/>
      <c r="AU16" s="584"/>
      <c r="AV16" s="601"/>
      <c r="AW16" s="584"/>
      <c r="AX16" s="601"/>
      <c r="AY16" s="584"/>
      <c r="AZ16" s="601"/>
      <c r="BA16" s="584"/>
      <c r="BD16" s="642">
        <v>8</v>
      </c>
      <c r="BE16" s="650" t="s">
        <v>540</v>
      </c>
      <c r="BF16" s="594" t="s">
        <v>313</v>
      </c>
      <c r="BG16" s="82"/>
      <c r="BH16" s="607"/>
      <c r="BI16" s="80" t="str">
        <f t="shared" si="1"/>
        <v>N/A</v>
      </c>
      <c r="BJ16" s="607"/>
      <c r="BK16" s="83" t="str">
        <f t="shared" si="2"/>
        <v>N/A</v>
      </c>
      <c r="BL16" s="83"/>
      <c r="BM16" s="83" t="str">
        <f t="shared" si="3"/>
        <v>N/A</v>
      </c>
      <c r="BN16" s="83"/>
      <c r="BO16" s="83" t="str">
        <f t="shared" si="4"/>
        <v>N/A</v>
      </c>
      <c r="BP16" s="83"/>
      <c r="BQ16" s="83" t="str">
        <f t="shared" si="5"/>
        <v>N/A</v>
      </c>
      <c r="BR16" s="83"/>
      <c r="BS16" s="83" t="str">
        <f t="shared" si="6"/>
        <v>N/A</v>
      </c>
      <c r="BT16" s="83"/>
      <c r="BU16" s="83" t="str">
        <f t="shared" si="7"/>
        <v>N/A</v>
      </c>
      <c r="BV16" s="83"/>
      <c r="BW16" s="83" t="str">
        <f t="shared" si="8"/>
        <v>N/A</v>
      </c>
      <c r="BX16" s="83"/>
      <c r="BY16" s="83" t="str">
        <f t="shared" si="9"/>
        <v>N/A</v>
      </c>
      <c r="BZ16" s="83"/>
      <c r="CA16" s="83" t="str">
        <f t="shared" si="10"/>
        <v>N/A</v>
      </c>
      <c r="CB16" s="83"/>
      <c r="CC16" s="83" t="str">
        <f t="shared" si="11"/>
        <v>N/A</v>
      </c>
      <c r="CD16" s="83"/>
      <c r="CE16" s="83" t="str">
        <f t="shared" si="12"/>
        <v>N/A</v>
      </c>
      <c r="CF16" s="83"/>
      <c r="CG16" s="83" t="str">
        <f t="shared" si="13"/>
        <v>N/A</v>
      </c>
      <c r="CH16" s="83"/>
      <c r="CI16" s="83" t="str">
        <f t="shared" si="14"/>
        <v>N/A</v>
      </c>
      <c r="CJ16" s="83"/>
      <c r="CK16" s="83" t="str">
        <f t="shared" si="15"/>
        <v>N/A</v>
      </c>
      <c r="CL16" s="83"/>
      <c r="CM16" s="83" t="str">
        <f t="shared" si="16"/>
        <v>N/A</v>
      </c>
      <c r="CN16" s="83"/>
      <c r="CO16" s="83" t="str">
        <f t="shared" si="17"/>
        <v>N/A</v>
      </c>
      <c r="CP16" s="83"/>
      <c r="CQ16" s="83" t="str">
        <f t="shared" si="18"/>
        <v>N/A</v>
      </c>
      <c r="CR16" s="83"/>
      <c r="CS16" s="83" t="str">
        <f t="shared" si="19"/>
        <v>N/A</v>
      </c>
      <c r="CT16" s="83"/>
      <c r="CU16" s="83" t="str">
        <f t="shared" si="20"/>
        <v>N/A</v>
      </c>
      <c r="CV16" s="83"/>
      <c r="CW16" s="83" t="str">
        <f t="shared" si="21"/>
        <v>N/A</v>
      </c>
      <c r="CX16" s="83"/>
      <c r="CY16" s="83" t="str">
        <f t="shared" si="22"/>
        <v>N/A</v>
      </c>
      <c r="CZ16" s="83"/>
      <c r="DA16" s="83" t="str">
        <f>IF(OR(ISBLANK(AX16),ISBLANK(AZ16)),"N/A",IF(ABS((AZ16-AX16)/AX16)&gt;0.25,"&gt; 25%","ok"))</f>
        <v>N/A</v>
      </c>
    </row>
    <row r="17" spans="2:105" ht="33.75" customHeight="1">
      <c r="B17" s="237">
        <v>82</v>
      </c>
      <c r="C17" s="240">
        <v>9</v>
      </c>
      <c r="D17" s="668" t="s">
        <v>586</v>
      </c>
      <c r="E17" s="246" t="s">
        <v>313</v>
      </c>
      <c r="F17" s="601"/>
      <c r="G17" s="584"/>
      <c r="H17" s="601"/>
      <c r="I17" s="584"/>
      <c r="J17" s="601"/>
      <c r="K17" s="584"/>
      <c r="L17" s="601"/>
      <c r="M17" s="584"/>
      <c r="N17" s="601"/>
      <c r="O17" s="584"/>
      <c r="P17" s="601"/>
      <c r="Q17" s="584"/>
      <c r="R17" s="601"/>
      <c r="S17" s="584"/>
      <c r="T17" s="601"/>
      <c r="U17" s="584"/>
      <c r="V17" s="601"/>
      <c r="W17" s="584"/>
      <c r="X17" s="601"/>
      <c r="Y17" s="584"/>
      <c r="Z17" s="601"/>
      <c r="AA17" s="584"/>
      <c r="AB17" s="601"/>
      <c r="AC17" s="584"/>
      <c r="AD17" s="601"/>
      <c r="AE17" s="584"/>
      <c r="AF17" s="601"/>
      <c r="AG17" s="584"/>
      <c r="AH17" s="601"/>
      <c r="AI17" s="584"/>
      <c r="AJ17" s="601"/>
      <c r="AK17" s="584"/>
      <c r="AL17" s="601"/>
      <c r="AM17" s="584"/>
      <c r="AN17" s="601"/>
      <c r="AO17" s="584"/>
      <c r="AP17" s="601"/>
      <c r="AQ17" s="584"/>
      <c r="AR17" s="601"/>
      <c r="AS17" s="584"/>
      <c r="AT17" s="601"/>
      <c r="AU17" s="584"/>
      <c r="AV17" s="601"/>
      <c r="AW17" s="584"/>
      <c r="AX17" s="601"/>
      <c r="AY17" s="584"/>
      <c r="AZ17" s="601"/>
      <c r="BA17" s="584"/>
      <c r="BD17" s="642">
        <v>9</v>
      </c>
      <c r="BE17" s="651" t="s">
        <v>586</v>
      </c>
      <c r="BF17" s="594" t="s">
        <v>313</v>
      </c>
      <c r="BG17" s="82" t="s">
        <v>85</v>
      </c>
      <c r="BH17" s="607"/>
      <c r="BI17" s="80" t="str">
        <f t="shared" si="1"/>
        <v>N/A</v>
      </c>
      <c r="BJ17" s="607"/>
      <c r="BK17" s="83" t="str">
        <f t="shared" si="2"/>
        <v>N/A</v>
      </c>
      <c r="BL17" s="83"/>
      <c r="BM17" s="83" t="str">
        <f t="shared" si="3"/>
        <v>N/A</v>
      </c>
      <c r="BN17" s="83"/>
      <c r="BO17" s="83" t="str">
        <f t="shared" si="4"/>
        <v>N/A</v>
      </c>
      <c r="BP17" s="83"/>
      <c r="BQ17" s="83" t="str">
        <f t="shared" si="5"/>
        <v>N/A</v>
      </c>
      <c r="BR17" s="83"/>
      <c r="BS17" s="83" t="str">
        <f t="shared" si="6"/>
        <v>N/A</v>
      </c>
      <c r="BT17" s="83"/>
      <c r="BU17" s="83" t="str">
        <f t="shared" si="7"/>
        <v>N/A</v>
      </c>
      <c r="BV17" s="83"/>
      <c r="BW17" s="83" t="str">
        <f t="shared" si="8"/>
        <v>N/A</v>
      </c>
      <c r="BX17" s="83"/>
      <c r="BY17" s="83" t="str">
        <f t="shared" si="9"/>
        <v>N/A</v>
      </c>
      <c r="BZ17" s="83"/>
      <c r="CA17" s="83" t="str">
        <f t="shared" si="10"/>
        <v>N/A</v>
      </c>
      <c r="CB17" s="83"/>
      <c r="CC17" s="83" t="str">
        <f t="shared" si="11"/>
        <v>N/A</v>
      </c>
      <c r="CD17" s="83"/>
      <c r="CE17" s="83" t="str">
        <f t="shared" si="12"/>
        <v>N/A</v>
      </c>
      <c r="CF17" s="83"/>
      <c r="CG17" s="83" t="str">
        <f t="shared" si="13"/>
        <v>N/A</v>
      </c>
      <c r="CH17" s="83"/>
      <c r="CI17" s="83" t="str">
        <f t="shared" si="14"/>
        <v>N/A</v>
      </c>
      <c r="CJ17" s="83"/>
      <c r="CK17" s="83" t="str">
        <f t="shared" si="15"/>
        <v>N/A</v>
      </c>
      <c r="CL17" s="83"/>
      <c r="CM17" s="83" t="str">
        <f t="shared" si="16"/>
        <v>N/A</v>
      </c>
      <c r="CN17" s="83"/>
      <c r="CO17" s="83" t="str">
        <f t="shared" si="17"/>
        <v>N/A</v>
      </c>
      <c r="CP17" s="83"/>
      <c r="CQ17" s="83" t="str">
        <f t="shared" si="18"/>
        <v>N/A</v>
      </c>
      <c r="CR17" s="83"/>
      <c r="CS17" s="83" t="str">
        <f t="shared" si="19"/>
        <v>N/A</v>
      </c>
      <c r="CT17" s="83"/>
      <c r="CU17" s="83" t="str">
        <f t="shared" si="20"/>
        <v>N/A</v>
      </c>
      <c r="CV17" s="83"/>
      <c r="CW17" s="83" t="str">
        <f t="shared" si="21"/>
        <v>N/A</v>
      </c>
      <c r="CX17" s="83"/>
      <c r="CY17" s="83" t="str">
        <f t="shared" si="22"/>
        <v>N/A</v>
      </c>
      <c r="CZ17" s="83"/>
      <c r="DA17" s="83" t="str">
        <f t="shared" si="0"/>
        <v>N/A</v>
      </c>
    </row>
    <row r="18" spans="2:105" ht="24" customHeight="1">
      <c r="B18" s="237">
        <v>46</v>
      </c>
      <c r="C18" s="240">
        <v>10</v>
      </c>
      <c r="D18" s="446" t="s">
        <v>536</v>
      </c>
      <c r="E18" s="246" t="s">
        <v>313</v>
      </c>
      <c r="F18" s="603"/>
      <c r="G18" s="589"/>
      <c r="H18" s="603"/>
      <c r="I18" s="589"/>
      <c r="J18" s="603"/>
      <c r="K18" s="589"/>
      <c r="L18" s="603"/>
      <c r="M18" s="589"/>
      <c r="N18" s="603"/>
      <c r="O18" s="589"/>
      <c r="P18" s="603"/>
      <c r="Q18" s="589"/>
      <c r="R18" s="603"/>
      <c r="S18" s="589"/>
      <c r="T18" s="603"/>
      <c r="U18" s="589"/>
      <c r="V18" s="603"/>
      <c r="W18" s="589"/>
      <c r="X18" s="603"/>
      <c r="Y18" s="589"/>
      <c r="Z18" s="603"/>
      <c r="AA18" s="589"/>
      <c r="AB18" s="603"/>
      <c r="AC18" s="589"/>
      <c r="AD18" s="603"/>
      <c r="AE18" s="589"/>
      <c r="AF18" s="603"/>
      <c r="AG18" s="589"/>
      <c r="AH18" s="603"/>
      <c r="AI18" s="589"/>
      <c r="AJ18" s="603"/>
      <c r="AK18" s="589"/>
      <c r="AL18" s="603"/>
      <c r="AM18" s="589"/>
      <c r="AN18" s="603"/>
      <c r="AO18" s="589"/>
      <c r="AP18" s="603"/>
      <c r="AQ18" s="589"/>
      <c r="AR18" s="603"/>
      <c r="AS18" s="589"/>
      <c r="AT18" s="603"/>
      <c r="AU18" s="589"/>
      <c r="AV18" s="603"/>
      <c r="AW18" s="589"/>
      <c r="AX18" s="603"/>
      <c r="AY18" s="589"/>
      <c r="AZ18" s="603"/>
      <c r="BA18" s="589"/>
      <c r="BD18" s="642">
        <v>10</v>
      </c>
      <c r="BE18" s="648" t="s">
        <v>536</v>
      </c>
      <c r="BF18" s="594" t="s">
        <v>313</v>
      </c>
      <c r="BG18" s="260"/>
      <c r="BH18" s="608"/>
      <c r="BI18" s="80" t="str">
        <f t="shared" si="1"/>
        <v>N/A</v>
      </c>
      <c r="BJ18" s="607"/>
      <c r="BK18" s="83" t="str">
        <f t="shared" si="2"/>
        <v>N/A</v>
      </c>
      <c r="BL18" s="83"/>
      <c r="BM18" s="83" t="str">
        <f t="shared" si="3"/>
        <v>N/A</v>
      </c>
      <c r="BN18" s="83"/>
      <c r="BO18" s="83" t="str">
        <f t="shared" si="4"/>
        <v>N/A</v>
      </c>
      <c r="BP18" s="83"/>
      <c r="BQ18" s="83" t="str">
        <f t="shared" si="5"/>
        <v>N/A</v>
      </c>
      <c r="BR18" s="83"/>
      <c r="BS18" s="83" t="str">
        <f t="shared" si="6"/>
        <v>N/A</v>
      </c>
      <c r="BT18" s="83"/>
      <c r="BU18" s="83" t="str">
        <f t="shared" si="7"/>
        <v>N/A</v>
      </c>
      <c r="BV18" s="83"/>
      <c r="BW18" s="83" t="str">
        <f t="shared" si="8"/>
        <v>N/A</v>
      </c>
      <c r="BX18" s="83"/>
      <c r="BY18" s="83" t="str">
        <f t="shared" si="9"/>
        <v>N/A</v>
      </c>
      <c r="BZ18" s="83"/>
      <c r="CA18" s="83" t="str">
        <f t="shared" si="10"/>
        <v>N/A</v>
      </c>
      <c r="CB18" s="83"/>
      <c r="CC18" s="83" t="str">
        <f t="shared" si="11"/>
        <v>N/A</v>
      </c>
      <c r="CD18" s="83"/>
      <c r="CE18" s="83" t="str">
        <f t="shared" si="12"/>
        <v>N/A</v>
      </c>
      <c r="CF18" s="83"/>
      <c r="CG18" s="83" t="str">
        <f t="shared" si="13"/>
        <v>N/A</v>
      </c>
      <c r="CH18" s="83"/>
      <c r="CI18" s="83" t="str">
        <f t="shared" si="14"/>
        <v>N/A</v>
      </c>
      <c r="CJ18" s="83"/>
      <c r="CK18" s="83" t="str">
        <f t="shared" si="15"/>
        <v>N/A</v>
      </c>
      <c r="CL18" s="83"/>
      <c r="CM18" s="83" t="str">
        <f t="shared" si="16"/>
        <v>N/A</v>
      </c>
      <c r="CN18" s="83"/>
      <c r="CO18" s="83" t="str">
        <f t="shared" si="17"/>
        <v>N/A</v>
      </c>
      <c r="CP18" s="83"/>
      <c r="CQ18" s="83" t="str">
        <f t="shared" si="18"/>
        <v>N/A</v>
      </c>
      <c r="CR18" s="83"/>
      <c r="CS18" s="83" t="str">
        <f t="shared" si="19"/>
        <v>N/A</v>
      </c>
      <c r="CT18" s="83"/>
      <c r="CU18" s="83" t="str">
        <f t="shared" si="20"/>
        <v>N/A</v>
      </c>
      <c r="CV18" s="83"/>
      <c r="CW18" s="83" t="str">
        <f t="shared" si="21"/>
        <v>N/A</v>
      </c>
      <c r="CX18" s="83"/>
      <c r="CY18" s="83" t="str">
        <f t="shared" si="22"/>
        <v>N/A</v>
      </c>
      <c r="CZ18" s="83"/>
      <c r="DA18" s="83" t="str">
        <f>IF(OR(ISBLANK(AX18),ISBLANK(AZ18)),"N/A",IF(ABS((AZ18-AX18)/AX18)&gt;0.25,"&gt; 25%","ok"))</f>
        <v>N/A</v>
      </c>
    </row>
    <row r="19" spans="2:105" ht="15" customHeight="1">
      <c r="B19" s="237">
        <v>48</v>
      </c>
      <c r="C19" s="255">
        <v>11</v>
      </c>
      <c r="D19" s="669" t="s">
        <v>332</v>
      </c>
      <c r="E19" s="246" t="s">
        <v>313</v>
      </c>
      <c r="F19" s="603"/>
      <c r="G19" s="589"/>
      <c r="H19" s="603"/>
      <c r="I19" s="589"/>
      <c r="J19" s="603"/>
      <c r="K19" s="589"/>
      <c r="L19" s="603"/>
      <c r="M19" s="589"/>
      <c r="N19" s="603"/>
      <c r="O19" s="589"/>
      <c r="P19" s="603"/>
      <c r="Q19" s="589"/>
      <c r="R19" s="603"/>
      <c r="S19" s="589"/>
      <c r="T19" s="603"/>
      <c r="U19" s="589"/>
      <c r="V19" s="603"/>
      <c r="W19" s="589"/>
      <c r="X19" s="603"/>
      <c r="Y19" s="589"/>
      <c r="Z19" s="603"/>
      <c r="AA19" s="589"/>
      <c r="AB19" s="603"/>
      <c r="AC19" s="589"/>
      <c r="AD19" s="603"/>
      <c r="AE19" s="589"/>
      <c r="AF19" s="603"/>
      <c r="AG19" s="589"/>
      <c r="AH19" s="603"/>
      <c r="AI19" s="589"/>
      <c r="AJ19" s="603"/>
      <c r="AK19" s="589"/>
      <c r="AL19" s="603"/>
      <c r="AM19" s="589"/>
      <c r="AN19" s="603"/>
      <c r="AO19" s="589"/>
      <c r="AP19" s="603"/>
      <c r="AQ19" s="589"/>
      <c r="AR19" s="603"/>
      <c r="AS19" s="589"/>
      <c r="AT19" s="603"/>
      <c r="AU19" s="589"/>
      <c r="AV19" s="603"/>
      <c r="AW19" s="589"/>
      <c r="AX19" s="603"/>
      <c r="AY19" s="589"/>
      <c r="AZ19" s="603"/>
      <c r="BA19" s="589"/>
      <c r="BD19" s="594">
        <v>11</v>
      </c>
      <c r="BE19" s="652" t="s">
        <v>332</v>
      </c>
      <c r="BF19" s="594" t="s">
        <v>313</v>
      </c>
      <c r="BG19" s="260" t="s">
        <v>85</v>
      </c>
      <c r="BH19" s="608"/>
      <c r="BI19" s="80" t="str">
        <f t="shared" si="1"/>
        <v>N/A</v>
      </c>
      <c r="BJ19" s="608"/>
      <c r="BK19" s="83" t="str">
        <f t="shared" si="2"/>
        <v>N/A</v>
      </c>
      <c r="BL19" s="83"/>
      <c r="BM19" s="83" t="str">
        <f t="shared" si="3"/>
        <v>N/A</v>
      </c>
      <c r="BN19" s="83"/>
      <c r="BO19" s="83" t="str">
        <f t="shared" si="4"/>
        <v>N/A</v>
      </c>
      <c r="BP19" s="83"/>
      <c r="BQ19" s="83" t="str">
        <f t="shared" si="5"/>
        <v>N/A</v>
      </c>
      <c r="BR19" s="83"/>
      <c r="BS19" s="83" t="str">
        <f t="shared" si="6"/>
        <v>N/A</v>
      </c>
      <c r="BT19" s="83"/>
      <c r="BU19" s="83" t="str">
        <f t="shared" si="7"/>
        <v>N/A</v>
      </c>
      <c r="BV19" s="83"/>
      <c r="BW19" s="83" t="str">
        <f t="shared" si="8"/>
        <v>N/A</v>
      </c>
      <c r="BX19" s="83"/>
      <c r="BY19" s="83" t="str">
        <f t="shared" si="9"/>
        <v>N/A</v>
      </c>
      <c r="BZ19" s="83"/>
      <c r="CA19" s="83" t="str">
        <f t="shared" si="10"/>
        <v>N/A</v>
      </c>
      <c r="CB19" s="83"/>
      <c r="CC19" s="83" t="str">
        <f t="shared" si="11"/>
        <v>N/A</v>
      </c>
      <c r="CD19" s="83"/>
      <c r="CE19" s="83" t="str">
        <f t="shared" si="12"/>
        <v>N/A</v>
      </c>
      <c r="CF19" s="83"/>
      <c r="CG19" s="83" t="str">
        <f t="shared" si="13"/>
        <v>N/A</v>
      </c>
      <c r="CH19" s="83"/>
      <c r="CI19" s="83" t="str">
        <f t="shared" si="14"/>
        <v>N/A</v>
      </c>
      <c r="CJ19" s="83"/>
      <c r="CK19" s="83" t="str">
        <f t="shared" si="15"/>
        <v>N/A</v>
      </c>
      <c r="CL19" s="83"/>
      <c r="CM19" s="83" t="str">
        <f t="shared" si="16"/>
        <v>N/A</v>
      </c>
      <c r="CN19" s="83"/>
      <c r="CO19" s="83" t="str">
        <f t="shared" si="17"/>
        <v>N/A</v>
      </c>
      <c r="CP19" s="83"/>
      <c r="CQ19" s="83" t="str">
        <f t="shared" si="18"/>
        <v>N/A</v>
      </c>
      <c r="CR19" s="83"/>
      <c r="CS19" s="83" t="str">
        <f t="shared" si="19"/>
        <v>N/A</v>
      </c>
      <c r="CT19" s="83"/>
      <c r="CU19" s="83" t="str">
        <f t="shared" si="20"/>
        <v>N/A</v>
      </c>
      <c r="CV19" s="83"/>
      <c r="CW19" s="83" t="str">
        <f t="shared" si="21"/>
        <v>N/A</v>
      </c>
      <c r="CX19" s="83"/>
      <c r="CY19" s="83" t="str">
        <f t="shared" si="22"/>
        <v>N/A</v>
      </c>
      <c r="CZ19" s="83"/>
      <c r="DA19" s="83" t="str">
        <f t="shared" si="0"/>
        <v>N/A</v>
      </c>
    </row>
    <row r="20" spans="2:105" ht="12.75" customHeight="1">
      <c r="B20" s="181">
        <v>5009</v>
      </c>
      <c r="C20" s="260"/>
      <c r="D20" s="452" t="s">
        <v>504</v>
      </c>
      <c r="E20" s="592"/>
      <c r="F20" s="619"/>
      <c r="G20" s="620"/>
      <c r="H20" s="619"/>
      <c r="I20" s="620"/>
      <c r="J20" s="619"/>
      <c r="K20" s="620"/>
      <c r="L20" s="619"/>
      <c r="M20" s="620"/>
      <c r="N20" s="620"/>
      <c r="O20" s="620"/>
      <c r="P20" s="619"/>
      <c r="Q20" s="620"/>
      <c r="R20" s="619"/>
      <c r="S20" s="620"/>
      <c r="T20" s="619"/>
      <c r="U20" s="620"/>
      <c r="V20" s="619"/>
      <c r="W20" s="620"/>
      <c r="X20" s="619"/>
      <c r="Y20" s="620"/>
      <c r="Z20" s="619"/>
      <c r="AA20" s="620"/>
      <c r="AB20" s="619"/>
      <c r="AC20" s="620"/>
      <c r="AD20" s="619"/>
      <c r="AE20" s="620"/>
      <c r="AF20" s="619"/>
      <c r="AG20" s="620"/>
      <c r="AH20" s="619"/>
      <c r="AI20" s="620"/>
      <c r="AJ20" s="619"/>
      <c r="AK20" s="620"/>
      <c r="AL20" s="619"/>
      <c r="AM20" s="620"/>
      <c r="AN20" s="619"/>
      <c r="AO20" s="620"/>
      <c r="AP20" s="619"/>
      <c r="AQ20" s="620"/>
      <c r="AR20" s="619"/>
      <c r="AS20" s="620"/>
      <c r="AT20" s="619"/>
      <c r="AU20" s="620"/>
      <c r="AV20" s="619"/>
      <c r="AW20" s="620"/>
      <c r="AX20" s="619"/>
      <c r="AY20" s="620"/>
      <c r="AZ20" s="619"/>
      <c r="BA20" s="620"/>
      <c r="BD20" s="592"/>
      <c r="BE20" s="653" t="s">
        <v>504</v>
      </c>
      <c r="BF20" s="592"/>
      <c r="BG20" s="260" t="s">
        <v>85</v>
      </c>
      <c r="BH20" s="608"/>
      <c r="BI20" s="80"/>
      <c r="BJ20" s="608"/>
      <c r="BK20" s="453"/>
      <c r="BL20" s="608"/>
      <c r="BM20" s="453"/>
      <c r="BN20" s="608"/>
      <c r="BO20" s="453"/>
      <c r="BP20" s="608"/>
      <c r="BQ20" s="453"/>
      <c r="BR20" s="608"/>
      <c r="BS20" s="453"/>
      <c r="BT20" s="608"/>
      <c r="BU20" s="453"/>
      <c r="BV20" s="608"/>
      <c r="BW20" s="260"/>
      <c r="BX20" s="608"/>
      <c r="BY20" s="260"/>
      <c r="BZ20" s="608"/>
      <c r="CA20" s="260"/>
      <c r="CB20" s="608"/>
      <c r="CC20" s="260"/>
      <c r="CD20" s="608"/>
      <c r="CE20" s="260"/>
      <c r="CF20" s="608"/>
      <c r="CG20" s="260"/>
      <c r="CH20" s="608"/>
      <c r="CI20" s="453"/>
      <c r="CJ20" s="608"/>
      <c r="CK20" s="260"/>
      <c r="CL20" s="608"/>
      <c r="CM20" s="260"/>
      <c r="CN20" s="608"/>
      <c r="CO20" s="260"/>
      <c r="CP20" s="608"/>
      <c r="CQ20" s="83"/>
      <c r="CR20" s="608"/>
      <c r="CS20" s="260"/>
      <c r="CT20" s="608"/>
      <c r="CU20" s="260"/>
      <c r="CV20" s="608"/>
      <c r="CW20" s="260"/>
      <c r="CX20" s="608"/>
      <c r="CY20" s="260"/>
      <c r="CZ20" s="608"/>
      <c r="DA20" s="83"/>
    </row>
    <row r="21" spans="1:105" s="454" customFormat="1" ht="27" customHeight="1">
      <c r="A21" s="386"/>
      <c r="B21" s="237">
        <v>277</v>
      </c>
      <c r="C21" s="372">
        <v>12</v>
      </c>
      <c r="D21" s="254" t="s">
        <v>18</v>
      </c>
      <c r="E21" s="246" t="s">
        <v>276</v>
      </c>
      <c r="F21" s="601"/>
      <c r="G21" s="584"/>
      <c r="H21" s="601"/>
      <c r="I21" s="584"/>
      <c r="J21" s="601"/>
      <c r="K21" s="584"/>
      <c r="L21" s="601"/>
      <c r="M21" s="584"/>
      <c r="N21" s="584"/>
      <c r="O21" s="584"/>
      <c r="P21" s="601"/>
      <c r="Q21" s="584"/>
      <c r="R21" s="601"/>
      <c r="S21" s="584"/>
      <c r="T21" s="601"/>
      <c r="U21" s="584"/>
      <c r="V21" s="601"/>
      <c r="W21" s="584"/>
      <c r="X21" s="601"/>
      <c r="Y21" s="584"/>
      <c r="Z21" s="601"/>
      <c r="AA21" s="584"/>
      <c r="AB21" s="601"/>
      <c r="AC21" s="584"/>
      <c r="AD21" s="601"/>
      <c r="AE21" s="584"/>
      <c r="AF21" s="601"/>
      <c r="AG21" s="584"/>
      <c r="AH21" s="601"/>
      <c r="AI21" s="584"/>
      <c r="AJ21" s="601"/>
      <c r="AK21" s="584"/>
      <c r="AL21" s="601"/>
      <c r="AM21" s="584"/>
      <c r="AN21" s="601"/>
      <c r="AO21" s="584"/>
      <c r="AP21" s="601"/>
      <c r="AQ21" s="584"/>
      <c r="AR21" s="601"/>
      <c r="AS21" s="584"/>
      <c r="AT21" s="601"/>
      <c r="AU21" s="584"/>
      <c r="AV21" s="601"/>
      <c r="AW21" s="584"/>
      <c r="AX21" s="601"/>
      <c r="AY21" s="584"/>
      <c r="AZ21" s="601"/>
      <c r="BA21" s="584"/>
      <c r="BC21" s="385"/>
      <c r="BD21" s="639">
        <v>12</v>
      </c>
      <c r="BE21" s="646" t="s">
        <v>18</v>
      </c>
      <c r="BF21" s="594" t="s">
        <v>276</v>
      </c>
      <c r="BG21" s="82" t="s">
        <v>85</v>
      </c>
      <c r="BH21" s="607"/>
      <c r="BI21" s="83" t="str">
        <f>IF(OR(ISBLANK(F21),ISBLANK(H21)),"N/A",IF(ABS(H21-F21)&gt;25,"&gt; 25%","ok"))</f>
        <v>N/A</v>
      </c>
      <c r="BJ21" s="607"/>
      <c r="BK21" s="83" t="str">
        <f>IF(OR(ISBLANK(H21),ISBLANK(J21)),"N/A",IF(ABS(J21-H21)&gt;25,"&gt; 25%","ok"))</f>
        <v>N/A</v>
      </c>
      <c r="BL21" s="83"/>
      <c r="BM21" s="83" t="str">
        <f>IF(OR(ISBLANK(J21),ISBLANK(L21)),"N/A",IF(ABS(L21-J21)&gt;25,"&gt; 25%","ok"))</f>
        <v>N/A</v>
      </c>
      <c r="BN21" s="83"/>
      <c r="BO21" s="83" t="str">
        <f>IF(OR(ISBLANK(L21),ISBLANK(N21)),"N/A",IF(ABS(N21-L21)&gt;25,"&gt; 25%","ok"))</f>
        <v>N/A</v>
      </c>
      <c r="BP21" s="83"/>
      <c r="BQ21" s="83" t="str">
        <f>IF(OR(ISBLANK(N21),ISBLANK(P21)),"N/A",IF(ABS(P21-N21)&gt;25,"&gt; 25%","ok"))</f>
        <v>N/A</v>
      </c>
      <c r="BR21" s="83"/>
      <c r="BS21" s="83" t="str">
        <f>IF(OR(ISBLANK(P21),ISBLANK(R21)),"N/A",IF(ABS(R21-P21)&gt;25,"&gt; 25%","ok"))</f>
        <v>N/A</v>
      </c>
      <c r="BT21" s="83"/>
      <c r="BU21" s="83" t="str">
        <f>IF(OR(ISBLANK(R21),ISBLANK(T21)),"N/A",IF(ABS(T21-R21)&gt;25,"&gt; 25%","ok"))</f>
        <v>N/A</v>
      </c>
      <c r="BV21" s="83"/>
      <c r="BW21" s="83" t="str">
        <f>IF(OR(ISBLANK(T21),ISBLANK(V21)),"N/A",IF(ABS(V21-T21)&gt;25,"&gt; 25%","ok"))</f>
        <v>N/A</v>
      </c>
      <c r="BX21" s="83"/>
      <c r="BY21" s="83" t="str">
        <f>IF(OR(ISBLANK(V21),ISBLANK(X21)),"N/A",IF(ABS(X21-V21)&gt;25,"&gt; 25%","ok"))</f>
        <v>N/A</v>
      </c>
      <c r="BZ21" s="83"/>
      <c r="CA21" s="83" t="str">
        <f>IF(OR(ISBLANK(X21),ISBLANK(Z21)),"N/A",IF(ABS(Z21-X21)&gt;25,"&gt; 25%","ok"))</f>
        <v>N/A</v>
      </c>
      <c r="CB21" s="83"/>
      <c r="CC21" s="83" t="str">
        <f>IF(OR(ISBLANK(Z21),ISBLANK(AB21)),"N/A",IF(ABS(AB21-Z21)&gt;25,"&gt; 25%","ok"))</f>
        <v>N/A</v>
      </c>
      <c r="CD21" s="83"/>
      <c r="CE21" s="83" t="str">
        <f>IF(OR(ISBLANK(AB21),ISBLANK(AD21)),"N/A",IF(ABS(AD21-AB21)&gt;25,"&gt; 25%","ok"))</f>
        <v>N/A</v>
      </c>
      <c r="CF21" s="83"/>
      <c r="CG21" s="83" t="str">
        <f>IF(OR(ISBLANK(AD21),ISBLANK(AF21)),"N/A",IF(ABS(AF21-AD21)&gt;25,"&gt; 25%","ok"))</f>
        <v>N/A</v>
      </c>
      <c r="CH21" s="83"/>
      <c r="CI21" s="83" t="str">
        <f>IF(OR(ISBLANK(AF21),ISBLANK(AH21)),"N/A",IF(ABS(AH21-AF21)&gt;25,"&gt; 25%","ok"))</f>
        <v>N/A</v>
      </c>
      <c r="CJ21" s="83"/>
      <c r="CK21" s="83" t="str">
        <f>IF(OR(ISBLANK(AH21),ISBLANK(AJ21)),"N/A",IF(ABS(AJ21-AH21)&gt;25,"&gt; 25%","ok"))</f>
        <v>N/A</v>
      </c>
      <c r="CL21" s="83"/>
      <c r="CM21" s="83" t="str">
        <f>IF(OR(ISBLANK(AJ21),ISBLANK(AL21)),"N/A",IF(ABS(AL21-AJ21)&gt;25,"&gt; 25%","ok"))</f>
        <v>N/A</v>
      </c>
      <c r="CN21" s="83"/>
      <c r="CO21" s="83" t="str">
        <f>IF(OR(ISBLANK(AL21),ISBLANK(AN21)),"N/A",IF(ABS(AN21-AL21)&gt;25,"&gt; 25%","ok"))</f>
        <v>N/A</v>
      </c>
      <c r="CP21" s="83"/>
      <c r="CQ21" s="83" t="str">
        <f>IF(OR(ISBLANK(AN21),ISBLANK(AP21)),"N/A",IF(ABS((AP21-AN21)/AN21)&gt;0.25,"&gt; 25%","ok"))</f>
        <v>N/A</v>
      </c>
      <c r="CR21" s="607"/>
      <c r="CS21" s="83" t="str">
        <f>IF(OR(ISBLANK(AP21),ISBLANK(AR21)),"N/A",IF(ABS(AR21-AP21)&gt;25,"&gt; 25%","ok"))</f>
        <v>N/A</v>
      </c>
      <c r="CT21" s="83"/>
      <c r="CU21" s="83" t="str">
        <f>IF(OR(ISBLANK(AR21),ISBLANK(AT21)),"N/A",IF(ABS(AT21-AR21)&gt;25,"&gt; 25%","ok"))</f>
        <v>N/A</v>
      </c>
      <c r="CV21" s="83"/>
      <c r="CW21" s="83" t="str">
        <f>IF(OR(ISBLANK(AT21),ISBLANK(AV21)),"N/A",IF(ABS(AV21-AT21)&gt;25,"&gt; 25%","ok"))</f>
        <v>N/A</v>
      </c>
      <c r="CX21" s="83"/>
      <c r="CY21" s="83" t="str">
        <f>IF(OR(ISBLANK(AV21),ISBLANK(AX21)),"N/A",IF(ABS(AX21-AV21)&gt;25,"&gt; 25%","ok"))</f>
        <v>N/A</v>
      </c>
      <c r="CZ21" s="83"/>
      <c r="DA21" s="83" t="str">
        <f t="shared" si="0"/>
        <v>N/A</v>
      </c>
    </row>
    <row r="22" spans="1:105" s="454" customFormat="1" ht="27" customHeight="1">
      <c r="A22" s="386"/>
      <c r="B22" s="237">
        <v>261</v>
      </c>
      <c r="C22" s="255">
        <v>13</v>
      </c>
      <c r="D22" s="252" t="s">
        <v>510</v>
      </c>
      <c r="E22" s="246" t="s">
        <v>276</v>
      </c>
      <c r="F22" s="601"/>
      <c r="G22" s="584"/>
      <c r="H22" s="601"/>
      <c r="I22" s="584"/>
      <c r="J22" s="601"/>
      <c r="K22" s="584"/>
      <c r="L22" s="601"/>
      <c r="M22" s="584"/>
      <c r="N22" s="584"/>
      <c r="O22" s="584"/>
      <c r="P22" s="601"/>
      <c r="Q22" s="584"/>
      <c r="R22" s="601"/>
      <c r="S22" s="584"/>
      <c r="T22" s="601"/>
      <c r="U22" s="584"/>
      <c r="V22" s="601">
        <v>73</v>
      </c>
      <c r="W22" s="584"/>
      <c r="X22" s="601">
        <v>72</v>
      </c>
      <c r="Y22" s="584"/>
      <c r="Z22" s="601">
        <v>58</v>
      </c>
      <c r="AA22" s="584"/>
      <c r="AB22" s="601">
        <v>66.7</v>
      </c>
      <c r="AC22" s="584"/>
      <c r="AD22" s="601">
        <v>67.9</v>
      </c>
      <c r="AE22" s="584"/>
      <c r="AF22" s="601">
        <v>68.6</v>
      </c>
      <c r="AG22" s="584"/>
      <c r="AH22" s="601">
        <v>72.4</v>
      </c>
      <c r="AI22" s="584"/>
      <c r="AJ22" s="601">
        <v>73.9</v>
      </c>
      <c r="AK22" s="584"/>
      <c r="AL22" s="601">
        <v>77.5</v>
      </c>
      <c r="AM22" s="584"/>
      <c r="AN22" s="601">
        <v>81.8</v>
      </c>
      <c r="AO22" s="584"/>
      <c r="AP22" s="601">
        <v>83.5</v>
      </c>
      <c r="AQ22" s="584"/>
      <c r="AR22" s="601">
        <v>83.9</v>
      </c>
      <c r="AS22" s="584"/>
      <c r="AT22" s="601">
        <v>83.8</v>
      </c>
      <c r="AU22" s="584"/>
      <c r="AV22" s="601">
        <v>83.5</v>
      </c>
      <c r="AW22" s="584"/>
      <c r="AX22" s="601"/>
      <c r="AY22" s="584"/>
      <c r="AZ22" s="601"/>
      <c r="BA22" s="584"/>
      <c r="BC22" s="385"/>
      <c r="BD22" s="594">
        <v>13</v>
      </c>
      <c r="BE22" s="647" t="s">
        <v>510</v>
      </c>
      <c r="BF22" s="594" t="s">
        <v>276</v>
      </c>
      <c r="BG22" s="82" t="s">
        <v>85</v>
      </c>
      <c r="BH22" s="607"/>
      <c r="BI22" s="83" t="str">
        <f>IF(OR(ISBLANK(F22),ISBLANK(H22)),"N/A",IF(ABS(H22-F22)&gt;25,"&gt; 25%","ok"))</f>
        <v>N/A</v>
      </c>
      <c r="BJ22" s="607"/>
      <c r="BK22" s="83" t="str">
        <f>IF(OR(ISBLANK(H22),ISBLANK(J22)),"N/A",IF(ABS(J22-H22)&gt;25,"&gt; 25%","ok"))</f>
        <v>N/A</v>
      </c>
      <c r="BL22" s="83"/>
      <c r="BM22" s="83" t="str">
        <f>IF(OR(ISBLANK(J22),ISBLANK(L22)),"N/A",IF(ABS(L22-J22)&gt;25,"&gt; 25%","ok"))</f>
        <v>N/A</v>
      </c>
      <c r="BN22" s="83"/>
      <c r="BO22" s="83" t="str">
        <f>IF(OR(ISBLANK(L22),ISBLANK(N22)),"N/A",IF(ABS(N22-L22)&gt;25,"&gt; 25%","ok"))</f>
        <v>N/A</v>
      </c>
      <c r="BP22" s="83"/>
      <c r="BQ22" s="83" t="str">
        <f>IF(OR(ISBLANK(N22),ISBLANK(P22)),"N/A",IF(ABS(P22-N22)&gt;25,"&gt; 25%","ok"))</f>
        <v>N/A</v>
      </c>
      <c r="BR22" s="83"/>
      <c r="BS22" s="83" t="str">
        <f>IF(OR(ISBLANK(P22),ISBLANK(R22)),"N/A",IF(ABS(R22-P22)&gt;25,"&gt; 25%","ok"))</f>
        <v>N/A</v>
      </c>
      <c r="BT22" s="83"/>
      <c r="BU22" s="83" t="str">
        <f>IF(OR(ISBLANK(R22),ISBLANK(T22)),"N/A",IF(ABS(T22-R22)&gt;25,"&gt; 25%","ok"))</f>
        <v>N/A</v>
      </c>
      <c r="BV22" s="83"/>
      <c r="BW22" s="83" t="str">
        <f>IF(OR(ISBLANK(T22),ISBLANK(V22)),"N/A",IF(ABS(V22-T22)&gt;25,"&gt; 25%","ok"))</f>
        <v>N/A</v>
      </c>
      <c r="BX22" s="83"/>
      <c r="BY22" s="83" t="str">
        <f>IF(OR(ISBLANK(V22),ISBLANK(X22)),"N/A",IF(ABS(X22-V22)&gt;25,"&gt; 25%","ok"))</f>
        <v>ok</v>
      </c>
      <c r="BZ22" s="83"/>
      <c r="CA22" s="83" t="str">
        <f>IF(OR(ISBLANK(X22),ISBLANK(Z22)),"N/A",IF(ABS(Z22-X22)&gt;25,"&gt; 25%","ok"))</f>
        <v>ok</v>
      </c>
      <c r="CB22" s="83"/>
      <c r="CC22" s="83" t="str">
        <f>IF(OR(ISBLANK(Z22),ISBLANK(AB22)),"N/A",IF(ABS(AB22-Z22)&gt;25,"&gt; 25%","ok"))</f>
        <v>ok</v>
      </c>
      <c r="CD22" s="83"/>
      <c r="CE22" s="83" t="str">
        <f>IF(OR(ISBLANK(AB22),ISBLANK(AD22)),"N/A",IF(ABS(AD22-AB22)&gt;25,"&gt; 25%","ok"))</f>
        <v>ok</v>
      </c>
      <c r="CF22" s="83"/>
      <c r="CG22" s="83" t="str">
        <f>IF(OR(ISBLANK(AD22),ISBLANK(AF22)),"N/A",IF(ABS(AF22-AD22)&gt;25,"&gt; 25%","ok"))</f>
        <v>ok</v>
      </c>
      <c r="CH22" s="83"/>
      <c r="CI22" s="83" t="str">
        <f>IF(OR(ISBLANK(AF22),ISBLANK(AH22)),"N/A",IF(ABS(AH22-AF22)&gt;25,"&gt; 25%","ok"))</f>
        <v>ok</v>
      </c>
      <c r="CJ22" s="83"/>
      <c r="CK22" s="83" t="str">
        <f>IF(OR(ISBLANK(AH22),ISBLANK(AJ22)),"N/A",IF(ABS(AJ22-AH22)&gt;25,"&gt; 25%","ok"))</f>
        <v>ok</v>
      </c>
      <c r="CL22" s="83"/>
      <c r="CM22" s="83" t="str">
        <f>IF(OR(ISBLANK(AJ22),ISBLANK(AL22)),"N/A",IF(ABS(AL22-AJ22)&gt;25,"&gt; 25%","ok"))</f>
        <v>ok</v>
      </c>
      <c r="CN22" s="83"/>
      <c r="CO22" s="83" t="str">
        <f>IF(OR(ISBLANK(AL22),ISBLANK(AN22)),"N/A",IF(ABS(AN22-AL22)&gt;25,"&gt; 25%","ok"))</f>
        <v>ok</v>
      </c>
      <c r="CP22" s="83"/>
      <c r="CQ22" s="83" t="str">
        <f>IF(OR(ISBLANK(AN22),ISBLANK(AP22)),"N/A",IF(ABS((AP22-AN22)/AN22)&gt;0.25,"&gt; 25%","ok"))</f>
        <v>ok</v>
      </c>
      <c r="CR22" s="607"/>
      <c r="CS22" s="83" t="str">
        <f>IF(OR(ISBLANK(AP22),ISBLANK(AR22)),"N/A",IF(ABS(AR22-AP22)&gt;25,"&gt; 25%","ok"))</f>
        <v>ok</v>
      </c>
      <c r="CT22" s="83"/>
      <c r="CU22" s="83" t="str">
        <f>IF(OR(ISBLANK(AR22),ISBLANK(AT22)),"N/A",IF(ABS(AT22-AR22)&gt;25,"&gt; 25%","ok"))</f>
        <v>ok</v>
      </c>
      <c r="CV22" s="83"/>
      <c r="CW22" s="83" t="str">
        <f>IF(OR(ISBLANK(AT22),ISBLANK(AV22)),"N/A",IF(ABS(AV22-AT22)&gt;25,"&gt; 25%","ok"))</f>
        <v>ok</v>
      </c>
      <c r="CX22" s="83"/>
      <c r="CY22" s="83" t="str">
        <f>IF(OR(ISBLANK(AV22),ISBLANK(AX22)),"N/A",IF(ABS(AX22-AV22)&gt;25,"&gt; 25%","ok"))</f>
        <v>N/A</v>
      </c>
      <c r="CZ22" s="83"/>
      <c r="DA22" s="83" t="str">
        <f t="shared" si="0"/>
        <v>N/A</v>
      </c>
    </row>
    <row r="23" spans="1:105" s="454" customFormat="1" ht="27" customHeight="1">
      <c r="A23" s="386"/>
      <c r="B23" s="237">
        <v>262</v>
      </c>
      <c r="C23" s="389">
        <v>14</v>
      </c>
      <c r="D23" s="267" t="s">
        <v>511</v>
      </c>
      <c r="E23" s="265" t="s">
        <v>276</v>
      </c>
      <c r="F23" s="577"/>
      <c r="G23" s="590"/>
      <c r="H23" s="577"/>
      <c r="I23" s="590"/>
      <c r="J23" s="577"/>
      <c r="K23" s="590"/>
      <c r="L23" s="577"/>
      <c r="M23" s="590"/>
      <c r="N23" s="590"/>
      <c r="O23" s="590"/>
      <c r="P23" s="577"/>
      <c r="Q23" s="590"/>
      <c r="R23" s="577"/>
      <c r="S23" s="590"/>
      <c r="T23" s="577"/>
      <c r="U23" s="590"/>
      <c r="V23" s="577"/>
      <c r="W23" s="590"/>
      <c r="X23" s="577"/>
      <c r="Y23" s="590"/>
      <c r="Z23" s="577"/>
      <c r="AA23" s="590"/>
      <c r="AB23" s="577"/>
      <c r="AC23" s="590"/>
      <c r="AD23" s="577"/>
      <c r="AE23" s="590"/>
      <c r="AF23" s="577"/>
      <c r="AG23" s="590"/>
      <c r="AH23" s="577"/>
      <c r="AI23" s="590"/>
      <c r="AJ23" s="577"/>
      <c r="AK23" s="590"/>
      <c r="AL23" s="577"/>
      <c r="AM23" s="590"/>
      <c r="AN23" s="577"/>
      <c r="AO23" s="590"/>
      <c r="AP23" s="577"/>
      <c r="AQ23" s="590"/>
      <c r="AR23" s="577"/>
      <c r="AS23" s="590"/>
      <c r="AT23" s="577"/>
      <c r="AU23" s="590"/>
      <c r="AV23" s="577"/>
      <c r="AW23" s="590"/>
      <c r="AX23" s="577"/>
      <c r="AY23" s="590"/>
      <c r="AZ23" s="577"/>
      <c r="BA23" s="590"/>
      <c r="BC23" s="385"/>
      <c r="BD23" s="654">
        <v>14</v>
      </c>
      <c r="BE23" s="655" t="s">
        <v>511</v>
      </c>
      <c r="BF23" s="654" t="s">
        <v>276</v>
      </c>
      <c r="BG23" s="95" t="s">
        <v>85</v>
      </c>
      <c r="BH23" s="610"/>
      <c r="BI23" s="81" t="str">
        <f>IF(OR(ISBLANK(F23),ISBLANK(H23)),"N/A",IF(ABS(H23-F23)&gt;25,"&gt; 25%","ok"))</f>
        <v>N/A</v>
      </c>
      <c r="BJ23" s="610"/>
      <c r="BK23" s="81" t="str">
        <f>IF(OR(ISBLANK(H23),ISBLANK(J23)),"N/A",IF(ABS(J23-H23)&gt;25,"&gt; 25%","ok"))</f>
        <v>N/A</v>
      </c>
      <c r="BL23" s="81"/>
      <c r="BM23" s="81" t="str">
        <f>IF(OR(ISBLANK(J23),ISBLANK(L23)),"N/A",IF(ABS(L23-J23)&gt;25,"&gt; 25%","ok"))</f>
        <v>N/A</v>
      </c>
      <c r="BN23" s="81"/>
      <c r="BO23" s="81" t="str">
        <f>IF(OR(ISBLANK(L23),ISBLANK(N23)),"N/A",IF(ABS(N23-L23)&gt;25,"&gt; 25%","ok"))</f>
        <v>N/A</v>
      </c>
      <c r="BP23" s="81"/>
      <c r="BQ23" s="81" t="str">
        <f>IF(OR(ISBLANK(N23),ISBLANK(P23)),"N/A",IF(ABS(P23-N23)&gt;25,"&gt; 25%","ok"))</f>
        <v>N/A</v>
      </c>
      <c r="BR23" s="81"/>
      <c r="BS23" s="81" t="str">
        <f>IF(OR(ISBLANK(P23),ISBLANK(R23)),"N/A",IF(ABS(R23-P23)&gt;25,"&gt; 25%","ok"))</f>
        <v>N/A</v>
      </c>
      <c r="BT23" s="81"/>
      <c r="BU23" s="81" t="str">
        <f>IF(OR(ISBLANK(R23),ISBLANK(T23)),"N/A",IF(ABS(T23-R23)&gt;25,"&gt; 25%","ok"))</f>
        <v>N/A</v>
      </c>
      <c r="BV23" s="81"/>
      <c r="BW23" s="81" t="str">
        <f>IF(OR(ISBLANK(T23),ISBLANK(V23)),"N/A",IF(ABS(V23-T23)&gt;25,"&gt; 25%","ok"))</f>
        <v>N/A</v>
      </c>
      <c r="BX23" s="81"/>
      <c r="BY23" s="81" t="str">
        <f>IF(OR(ISBLANK(V23),ISBLANK(X23)),"N/A",IF(ABS(X23-V23)&gt;25,"&gt; 25%","ok"))</f>
        <v>N/A</v>
      </c>
      <c r="BZ23" s="81"/>
      <c r="CA23" s="81" t="str">
        <f>IF(OR(ISBLANK(X23),ISBLANK(Z23)),"N/A",IF(ABS(Z23-X23)&gt;25,"&gt; 25%","ok"))</f>
        <v>N/A</v>
      </c>
      <c r="CB23" s="81"/>
      <c r="CC23" s="81" t="str">
        <f>IF(OR(ISBLANK(Z23),ISBLANK(AB23)),"N/A",IF(ABS(AB23-Z23)&gt;25,"&gt; 25%","ok"))</f>
        <v>N/A</v>
      </c>
      <c r="CD23" s="81"/>
      <c r="CE23" s="81" t="str">
        <f>IF(OR(ISBLANK(AB23),ISBLANK(AD23)),"N/A",IF(ABS(AD23-AB23)&gt;25,"&gt; 25%","ok"))</f>
        <v>N/A</v>
      </c>
      <c r="CF23" s="81"/>
      <c r="CG23" s="81" t="str">
        <f>IF(OR(ISBLANK(AD23),ISBLANK(AF23)),"N/A",IF(ABS(AF23-AD23)&gt;25,"&gt; 25%","ok"))</f>
        <v>N/A</v>
      </c>
      <c r="CH23" s="81"/>
      <c r="CI23" s="81" t="str">
        <f>IF(OR(ISBLANK(AF23),ISBLANK(AH23)),"N/A",IF(ABS(AH23-AF23)&gt;25,"&gt; 25%","ok"))</f>
        <v>N/A</v>
      </c>
      <c r="CJ23" s="81"/>
      <c r="CK23" s="81" t="str">
        <f>IF(OR(ISBLANK(AH23),ISBLANK(AJ23)),"N/A",IF(ABS(AJ23-AH23)&gt;25,"&gt; 25%","ok"))</f>
        <v>N/A</v>
      </c>
      <c r="CL23" s="81"/>
      <c r="CM23" s="81" t="str">
        <f>IF(OR(ISBLANK(AJ23),ISBLANK(AL23)),"N/A",IF(ABS(AL23-AJ23)&gt;25,"&gt; 25%","ok"))</f>
        <v>N/A</v>
      </c>
      <c r="CN23" s="81"/>
      <c r="CO23" s="81" t="str">
        <f>IF(OR(ISBLANK(AL23),ISBLANK(AN23)),"N/A",IF(ABS(AN23-AL23)&gt;25,"&gt; 25%","ok"))</f>
        <v>N/A</v>
      </c>
      <c r="CP23" s="81"/>
      <c r="CQ23" s="81" t="str">
        <f>IF(OR(ISBLANK(AN23),ISBLANK(AP23)),"N/A",IF(ABS((AP23-AN23)/AN23)&gt;0.25,"&gt; 25%","ok"))</f>
        <v>N/A</v>
      </c>
      <c r="CR23" s="610"/>
      <c r="CS23" s="81" t="str">
        <f>IF(OR(ISBLANK(AP23),ISBLANK(AR23)),"N/A",IF(ABS(AR23-AP23)&gt;25,"&gt; 25%","ok"))</f>
        <v>N/A</v>
      </c>
      <c r="CT23" s="81"/>
      <c r="CU23" s="81" t="str">
        <f>IF(OR(ISBLANK(AR23),ISBLANK(AT23)),"N/A",IF(ABS(AT23-AR23)&gt;25,"&gt; 25%","ok"))</f>
        <v>N/A</v>
      </c>
      <c r="CV23" s="81"/>
      <c r="CW23" s="81" t="str">
        <f>IF(OR(ISBLANK(AT23),ISBLANK(AV23)),"N/A",IF(ABS(AV23-AT23)&gt;25,"&gt; 25%","ok"))</f>
        <v>N/A</v>
      </c>
      <c r="CX23" s="81"/>
      <c r="CY23" s="81" t="str">
        <f>IF(OR(ISBLANK(AV23),ISBLANK(AX23)),"N/A",IF(ABS(AX23-AV23)&gt;25,"&gt; 25%","ok"))</f>
        <v>N/A</v>
      </c>
      <c r="CZ23" s="81"/>
      <c r="DA23" s="81" t="str">
        <f t="shared" si="0"/>
        <v>N/A</v>
      </c>
    </row>
    <row r="24" spans="4:58" ht="12" customHeight="1">
      <c r="D24" s="270"/>
      <c r="BD24" s="656" t="s">
        <v>47</v>
      </c>
      <c r="BE24" s="657"/>
      <c r="BF24" s="657"/>
    </row>
    <row r="25" spans="3:105" ht="15" customHeight="1">
      <c r="C25" s="354" t="s">
        <v>319</v>
      </c>
      <c r="D25" s="456"/>
      <c r="E25" s="457"/>
      <c r="F25" s="354"/>
      <c r="G25" s="354"/>
      <c r="BD25" s="658" t="s">
        <v>301</v>
      </c>
      <c r="BE25" s="658" t="s">
        <v>302</v>
      </c>
      <c r="BF25" s="658" t="s">
        <v>305</v>
      </c>
      <c r="BG25" s="616">
        <v>1990</v>
      </c>
      <c r="BH25" s="617"/>
      <c r="BI25" s="616">
        <v>1995</v>
      </c>
      <c r="BJ25" s="617"/>
      <c r="BK25" s="616">
        <v>1996</v>
      </c>
      <c r="BL25" s="617"/>
      <c r="BM25" s="616">
        <v>1997</v>
      </c>
      <c r="BN25" s="617"/>
      <c r="BO25" s="616">
        <v>1998</v>
      </c>
      <c r="BP25" s="617"/>
      <c r="BQ25" s="616">
        <v>1999</v>
      </c>
      <c r="BR25" s="617"/>
      <c r="BS25" s="616">
        <v>2000</v>
      </c>
      <c r="BT25" s="617"/>
      <c r="BU25" s="616">
        <v>2001</v>
      </c>
      <c r="BV25" s="617"/>
      <c r="BW25" s="616">
        <v>2002</v>
      </c>
      <c r="BX25" s="617"/>
      <c r="BY25" s="616">
        <v>2003</v>
      </c>
      <c r="BZ25" s="617"/>
      <c r="CA25" s="616">
        <v>2004</v>
      </c>
      <c r="CB25" s="617"/>
      <c r="CC25" s="616">
        <v>2005</v>
      </c>
      <c r="CD25" s="617"/>
      <c r="CE25" s="616">
        <v>2006</v>
      </c>
      <c r="CF25" s="617"/>
      <c r="CG25" s="616">
        <v>2007</v>
      </c>
      <c r="CH25" s="617"/>
      <c r="CI25" s="616">
        <v>2008</v>
      </c>
      <c r="CJ25" s="617"/>
      <c r="CK25" s="616">
        <v>2009</v>
      </c>
      <c r="CL25" s="617"/>
      <c r="CM25" s="616">
        <v>2010</v>
      </c>
      <c r="CN25" s="617"/>
      <c r="CO25" s="616">
        <v>2011</v>
      </c>
      <c r="CP25" s="618"/>
      <c r="CQ25" s="616">
        <v>2012</v>
      </c>
      <c r="CR25" s="617"/>
      <c r="CS25" s="616">
        <v>2013</v>
      </c>
      <c r="CT25" s="617"/>
      <c r="CU25" s="616">
        <v>2014</v>
      </c>
      <c r="CV25" s="618"/>
      <c r="CW25" s="616">
        <v>2013</v>
      </c>
      <c r="CX25" s="617"/>
      <c r="CY25" s="616">
        <v>2014</v>
      </c>
      <c r="CZ25" s="618"/>
      <c r="DA25" s="616">
        <v>2015</v>
      </c>
    </row>
    <row r="26" spans="3:105" ht="17.25" customHeight="1">
      <c r="C26" s="278" t="s">
        <v>148</v>
      </c>
      <c r="D26" s="767" t="s">
        <v>127</v>
      </c>
      <c r="E26" s="767"/>
      <c r="F26" s="767"/>
      <c r="G26" s="767"/>
      <c r="H26" s="767"/>
      <c r="I26" s="767"/>
      <c r="J26" s="767"/>
      <c r="K26" s="767"/>
      <c r="L26" s="767"/>
      <c r="M26" s="767"/>
      <c r="N26" s="767"/>
      <c r="O26" s="767"/>
      <c r="P26" s="767"/>
      <c r="Q26" s="767"/>
      <c r="R26" s="767"/>
      <c r="S26" s="767"/>
      <c r="T26" s="767"/>
      <c r="U26" s="767"/>
      <c r="V26" s="767"/>
      <c r="W26" s="767"/>
      <c r="X26" s="767"/>
      <c r="Y26" s="767"/>
      <c r="Z26" s="767"/>
      <c r="AA26" s="767"/>
      <c r="AB26" s="767"/>
      <c r="AC26" s="767"/>
      <c r="AD26" s="767"/>
      <c r="AE26" s="767"/>
      <c r="AF26" s="767"/>
      <c r="AG26" s="767"/>
      <c r="AH26" s="767"/>
      <c r="AI26" s="767"/>
      <c r="AJ26" s="767"/>
      <c r="AK26" s="767"/>
      <c r="AL26" s="767"/>
      <c r="AM26" s="767"/>
      <c r="AN26" s="767"/>
      <c r="AO26" s="767"/>
      <c r="AP26" s="767"/>
      <c r="AQ26" s="767"/>
      <c r="AR26" s="767"/>
      <c r="AS26" s="767"/>
      <c r="AT26" s="767"/>
      <c r="AU26" s="767"/>
      <c r="AV26" s="767"/>
      <c r="AW26" s="767"/>
      <c r="AX26" s="767"/>
      <c r="AY26" s="767"/>
      <c r="AZ26" s="767"/>
      <c r="BA26" s="767"/>
      <c r="BB26" s="767"/>
      <c r="BC26" s="458"/>
      <c r="BD26" s="594">
        <v>3</v>
      </c>
      <c r="BE26" s="646" t="s">
        <v>560</v>
      </c>
      <c r="BF26" s="594" t="s">
        <v>313</v>
      </c>
      <c r="BG26" s="82">
        <f>F10</f>
        <v>0</v>
      </c>
      <c r="BH26" s="82"/>
      <c r="BI26" s="82">
        <f aca="true" t="shared" si="23" ref="BI26:DA26">H10</f>
        <v>0</v>
      </c>
      <c r="BJ26" s="82"/>
      <c r="BK26" s="82">
        <f t="shared" si="23"/>
        <v>0</v>
      </c>
      <c r="BL26" s="82"/>
      <c r="BM26" s="82">
        <f t="shared" si="23"/>
        <v>0</v>
      </c>
      <c r="BN26" s="82"/>
      <c r="BO26" s="82">
        <f t="shared" si="23"/>
        <v>0</v>
      </c>
      <c r="BP26" s="82"/>
      <c r="BQ26" s="82">
        <f t="shared" si="23"/>
        <v>0</v>
      </c>
      <c r="BR26" s="82"/>
      <c r="BS26" s="82">
        <f t="shared" si="23"/>
        <v>0</v>
      </c>
      <c r="BT26" s="82"/>
      <c r="BU26" s="82">
        <f t="shared" si="23"/>
        <v>0</v>
      </c>
      <c r="BV26" s="82"/>
      <c r="BW26" s="82">
        <f t="shared" si="23"/>
        <v>0</v>
      </c>
      <c r="BX26" s="82"/>
      <c r="BY26" s="82">
        <f t="shared" si="23"/>
        <v>0</v>
      </c>
      <c r="BZ26" s="82"/>
      <c r="CA26" s="82">
        <f t="shared" si="23"/>
        <v>0</v>
      </c>
      <c r="CB26" s="82"/>
      <c r="CC26" s="82">
        <f t="shared" si="23"/>
        <v>0</v>
      </c>
      <c r="CD26" s="82"/>
      <c r="CE26" s="82">
        <f t="shared" si="23"/>
        <v>0</v>
      </c>
      <c r="CF26" s="82"/>
      <c r="CG26" s="82">
        <f t="shared" si="23"/>
        <v>0</v>
      </c>
      <c r="CH26" s="82"/>
      <c r="CI26" s="82">
        <f t="shared" si="23"/>
        <v>0</v>
      </c>
      <c r="CJ26" s="82"/>
      <c r="CK26" s="82">
        <f t="shared" si="23"/>
        <v>0</v>
      </c>
      <c r="CL26" s="82"/>
      <c r="CM26" s="82">
        <f t="shared" si="23"/>
        <v>0</v>
      </c>
      <c r="CN26" s="82"/>
      <c r="CO26" s="82">
        <f t="shared" si="23"/>
        <v>0</v>
      </c>
      <c r="CP26" s="82"/>
      <c r="CQ26" s="82">
        <f t="shared" si="23"/>
        <v>0</v>
      </c>
      <c r="CR26" s="82"/>
      <c r="CS26" s="82">
        <f t="shared" si="23"/>
        <v>0</v>
      </c>
      <c r="CT26" s="82"/>
      <c r="CU26" s="82">
        <f t="shared" si="23"/>
        <v>0</v>
      </c>
      <c r="CV26" s="82"/>
      <c r="CW26" s="82">
        <f t="shared" si="23"/>
        <v>0</v>
      </c>
      <c r="CX26" s="82"/>
      <c r="CY26" s="82">
        <f t="shared" si="23"/>
        <v>0</v>
      </c>
      <c r="CZ26" s="82"/>
      <c r="DA26" s="82">
        <f t="shared" si="23"/>
        <v>0</v>
      </c>
    </row>
    <row r="27" spans="1:120" s="439" customFormat="1" ht="14.25" customHeight="1">
      <c r="A27" s="280"/>
      <c r="B27" s="280"/>
      <c r="C27" s="278" t="s">
        <v>148</v>
      </c>
      <c r="D27" s="777" t="s">
        <v>149</v>
      </c>
      <c r="E27" s="777"/>
      <c r="F27" s="777"/>
      <c r="G27" s="777"/>
      <c r="H27" s="777"/>
      <c r="I27" s="777"/>
      <c r="J27" s="777"/>
      <c r="K27" s="777"/>
      <c r="L27" s="777"/>
      <c r="M27" s="777"/>
      <c r="N27" s="777"/>
      <c r="O27" s="777"/>
      <c r="P27" s="777"/>
      <c r="Q27" s="777"/>
      <c r="R27" s="777"/>
      <c r="S27" s="777"/>
      <c r="T27" s="777"/>
      <c r="U27" s="777"/>
      <c r="V27" s="777"/>
      <c r="W27" s="777"/>
      <c r="X27" s="777"/>
      <c r="Y27" s="777"/>
      <c r="Z27" s="777"/>
      <c r="AA27" s="777"/>
      <c r="AB27" s="777"/>
      <c r="AC27" s="777"/>
      <c r="AD27" s="777"/>
      <c r="AE27" s="777"/>
      <c r="AF27" s="777"/>
      <c r="AG27" s="777"/>
      <c r="AH27" s="777"/>
      <c r="AI27" s="777"/>
      <c r="AJ27" s="777"/>
      <c r="AK27" s="777"/>
      <c r="AL27" s="777"/>
      <c r="AM27" s="777"/>
      <c r="AN27" s="777"/>
      <c r="AO27" s="777"/>
      <c r="AP27" s="777"/>
      <c r="AQ27" s="777"/>
      <c r="AR27" s="777"/>
      <c r="AS27" s="777"/>
      <c r="AT27" s="777"/>
      <c r="AU27" s="777"/>
      <c r="AV27" s="777"/>
      <c r="AW27" s="777"/>
      <c r="AX27" s="777"/>
      <c r="AY27" s="777"/>
      <c r="AZ27" s="777"/>
      <c r="BA27" s="777"/>
      <c r="BB27" s="777"/>
      <c r="BC27" s="458"/>
      <c r="BD27" s="299">
        <v>15</v>
      </c>
      <c r="BE27" s="459" t="s">
        <v>39</v>
      </c>
      <c r="BF27" s="82" t="s">
        <v>313</v>
      </c>
      <c r="BG27" s="82">
        <f>F8-F9</f>
        <v>0</v>
      </c>
      <c r="BH27" s="82"/>
      <c r="BI27" s="82">
        <f aca="true" t="shared" si="24" ref="BI27:DA27">H8-H9</f>
        <v>0</v>
      </c>
      <c r="BJ27" s="82"/>
      <c r="BK27" s="82">
        <f t="shared" si="24"/>
        <v>0</v>
      </c>
      <c r="BL27" s="82"/>
      <c r="BM27" s="82">
        <f t="shared" si="24"/>
        <v>0</v>
      </c>
      <c r="BN27" s="82"/>
      <c r="BO27" s="82">
        <f t="shared" si="24"/>
        <v>0</v>
      </c>
      <c r="BP27" s="82"/>
      <c r="BQ27" s="82">
        <f t="shared" si="24"/>
        <v>0</v>
      </c>
      <c r="BR27" s="82"/>
      <c r="BS27" s="82">
        <f t="shared" si="24"/>
        <v>0</v>
      </c>
      <c r="BT27" s="82"/>
      <c r="BU27" s="82">
        <f t="shared" si="24"/>
        <v>0</v>
      </c>
      <c r="BV27" s="82"/>
      <c r="BW27" s="82">
        <f t="shared" si="24"/>
        <v>0</v>
      </c>
      <c r="BX27" s="82"/>
      <c r="BY27" s="82">
        <f t="shared" si="24"/>
        <v>0</v>
      </c>
      <c r="BZ27" s="82"/>
      <c r="CA27" s="82">
        <f t="shared" si="24"/>
        <v>0</v>
      </c>
      <c r="CB27" s="82"/>
      <c r="CC27" s="82">
        <f t="shared" si="24"/>
        <v>0</v>
      </c>
      <c r="CD27" s="82"/>
      <c r="CE27" s="82">
        <f t="shared" si="24"/>
        <v>0</v>
      </c>
      <c r="CF27" s="82"/>
      <c r="CG27" s="82">
        <f t="shared" si="24"/>
        <v>0</v>
      </c>
      <c r="CH27" s="82"/>
      <c r="CI27" s="82">
        <f t="shared" si="24"/>
        <v>0</v>
      </c>
      <c r="CJ27" s="82"/>
      <c r="CK27" s="82">
        <f t="shared" si="24"/>
        <v>0</v>
      </c>
      <c r="CL27" s="82"/>
      <c r="CM27" s="82">
        <f t="shared" si="24"/>
        <v>0</v>
      </c>
      <c r="CN27" s="82"/>
      <c r="CO27" s="82">
        <f t="shared" si="24"/>
        <v>0</v>
      </c>
      <c r="CP27" s="82"/>
      <c r="CQ27" s="82">
        <f t="shared" si="24"/>
        <v>0</v>
      </c>
      <c r="CR27" s="82"/>
      <c r="CS27" s="82">
        <f t="shared" si="24"/>
        <v>0</v>
      </c>
      <c r="CT27" s="82"/>
      <c r="CU27" s="82">
        <f t="shared" si="24"/>
        <v>0</v>
      </c>
      <c r="CV27" s="82"/>
      <c r="CW27" s="82">
        <f t="shared" si="24"/>
        <v>0</v>
      </c>
      <c r="CX27" s="82"/>
      <c r="CY27" s="82">
        <f t="shared" si="24"/>
        <v>0</v>
      </c>
      <c r="CZ27" s="82"/>
      <c r="DA27" s="82">
        <f t="shared" si="24"/>
        <v>0</v>
      </c>
      <c r="DB27" s="460"/>
      <c r="DC27" s="460"/>
      <c r="DD27" s="460"/>
      <c r="DE27" s="460"/>
      <c r="DF27" s="460"/>
      <c r="DG27" s="460"/>
      <c r="DH27" s="460"/>
      <c r="DI27" s="460"/>
      <c r="DJ27" s="460"/>
      <c r="DK27" s="460"/>
      <c r="DL27" s="460"/>
      <c r="DM27" s="460"/>
      <c r="DN27" s="460"/>
      <c r="DO27" s="460"/>
      <c r="DP27" s="460"/>
    </row>
    <row r="28" spans="1:120" s="439" customFormat="1" ht="14.25" customHeight="1">
      <c r="A28" s="280"/>
      <c r="B28" s="280"/>
      <c r="C28" s="278" t="s">
        <v>148</v>
      </c>
      <c r="D28" s="767" t="s">
        <v>265</v>
      </c>
      <c r="E28" s="767"/>
      <c r="F28" s="767"/>
      <c r="G28" s="767"/>
      <c r="H28" s="767"/>
      <c r="I28" s="767"/>
      <c r="J28" s="767"/>
      <c r="K28" s="767"/>
      <c r="L28" s="767"/>
      <c r="M28" s="767"/>
      <c r="N28" s="767"/>
      <c r="O28" s="767"/>
      <c r="P28" s="767"/>
      <c r="Q28" s="767"/>
      <c r="R28" s="767"/>
      <c r="S28" s="767"/>
      <c r="T28" s="767"/>
      <c r="U28" s="767"/>
      <c r="V28" s="767"/>
      <c r="W28" s="767"/>
      <c r="X28" s="767"/>
      <c r="Y28" s="767"/>
      <c r="Z28" s="767"/>
      <c r="AA28" s="767"/>
      <c r="AB28" s="767"/>
      <c r="AC28" s="767"/>
      <c r="AD28" s="767"/>
      <c r="AE28" s="767"/>
      <c r="AF28" s="767"/>
      <c r="AG28" s="767"/>
      <c r="AH28" s="767"/>
      <c r="AI28" s="767"/>
      <c r="AJ28" s="767"/>
      <c r="AK28" s="767"/>
      <c r="AL28" s="767"/>
      <c r="AM28" s="767"/>
      <c r="AN28" s="767"/>
      <c r="AO28" s="767"/>
      <c r="AP28" s="767"/>
      <c r="AQ28" s="767"/>
      <c r="AR28" s="767"/>
      <c r="AS28" s="767"/>
      <c r="AT28" s="767"/>
      <c r="AU28" s="767"/>
      <c r="AV28" s="279"/>
      <c r="AW28" s="279"/>
      <c r="AX28" s="279"/>
      <c r="AY28" s="279"/>
      <c r="AZ28" s="279"/>
      <c r="BA28" s="279"/>
      <c r="BB28" s="279"/>
      <c r="BC28" s="458"/>
      <c r="BD28" s="287" t="s">
        <v>182</v>
      </c>
      <c r="BE28" s="284" t="s">
        <v>604</v>
      </c>
      <c r="BF28" s="82"/>
      <c r="BG28" s="82" t="str">
        <f>IF(OR(ISBLANK(F8),ISBLANK(F9),ISBLANK(F10)),"N/A",IF((BG26=BG27),"ok","&lt;&gt;"))</f>
        <v>N/A</v>
      </c>
      <c r="BH28" s="82"/>
      <c r="BI28" s="82" t="str">
        <f aca="true" t="shared" si="25" ref="BI28:DA28">IF(OR(ISBLANK(H8),ISBLANK(H9),ISBLANK(H10)),"N/A",IF((BI26=BI27),"ok","&lt;&gt;"))</f>
        <v>N/A</v>
      </c>
      <c r="BJ28" s="82"/>
      <c r="BK28" s="82" t="str">
        <f t="shared" si="25"/>
        <v>N/A</v>
      </c>
      <c r="BL28" s="82"/>
      <c r="BM28" s="82" t="str">
        <f t="shared" si="25"/>
        <v>N/A</v>
      </c>
      <c r="BN28" s="82"/>
      <c r="BO28" s="82" t="str">
        <f t="shared" si="25"/>
        <v>N/A</v>
      </c>
      <c r="BP28" s="82"/>
      <c r="BQ28" s="82" t="str">
        <f t="shared" si="25"/>
        <v>N/A</v>
      </c>
      <c r="BR28" s="82"/>
      <c r="BS28" s="82" t="str">
        <f t="shared" si="25"/>
        <v>N/A</v>
      </c>
      <c r="BT28" s="82"/>
      <c r="BU28" s="82" t="str">
        <f t="shared" si="25"/>
        <v>N/A</v>
      </c>
      <c r="BV28" s="82"/>
      <c r="BW28" s="82" t="str">
        <f t="shared" si="25"/>
        <v>N/A</v>
      </c>
      <c r="BX28" s="82"/>
      <c r="BY28" s="82" t="str">
        <f t="shared" si="25"/>
        <v>N/A</v>
      </c>
      <c r="BZ28" s="82"/>
      <c r="CA28" s="82" t="str">
        <f t="shared" si="25"/>
        <v>N/A</v>
      </c>
      <c r="CB28" s="82"/>
      <c r="CC28" s="82" t="str">
        <f t="shared" si="25"/>
        <v>N/A</v>
      </c>
      <c r="CD28" s="82"/>
      <c r="CE28" s="82" t="str">
        <f t="shared" si="25"/>
        <v>N/A</v>
      </c>
      <c r="CF28" s="82"/>
      <c r="CG28" s="82" t="str">
        <f t="shared" si="25"/>
        <v>N/A</v>
      </c>
      <c r="CH28" s="82"/>
      <c r="CI28" s="82" t="str">
        <f t="shared" si="25"/>
        <v>N/A</v>
      </c>
      <c r="CJ28" s="82"/>
      <c r="CK28" s="82" t="str">
        <f t="shared" si="25"/>
        <v>N/A</v>
      </c>
      <c r="CL28" s="82"/>
      <c r="CM28" s="82" t="str">
        <f t="shared" si="25"/>
        <v>N/A</v>
      </c>
      <c r="CN28" s="82"/>
      <c r="CO28" s="82" t="str">
        <f t="shared" si="25"/>
        <v>N/A</v>
      </c>
      <c r="CP28" s="82"/>
      <c r="CQ28" s="82" t="str">
        <f t="shared" si="25"/>
        <v>N/A</v>
      </c>
      <c r="CR28" s="82"/>
      <c r="CS28" s="82" t="str">
        <f t="shared" si="25"/>
        <v>N/A</v>
      </c>
      <c r="CT28" s="82"/>
      <c r="CU28" s="82" t="str">
        <f t="shared" si="25"/>
        <v>N/A</v>
      </c>
      <c r="CV28" s="82"/>
      <c r="CW28" s="82" t="str">
        <f t="shared" si="25"/>
        <v>N/A</v>
      </c>
      <c r="CX28" s="82"/>
      <c r="CY28" s="82" t="str">
        <f t="shared" si="25"/>
        <v>N/A</v>
      </c>
      <c r="CZ28" s="82"/>
      <c r="DA28" s="82" t="str">
        <f t="shared" si="25"/>
        <v>N/A</v>
      </c>
      <c r="DB28" s="460"/>
      <c r="DC28" s="460"/>
      <c r="DD28" s="460"/>
      <c r="DE28" s="460"/>
      <c r="DF28" s="460"/>
      <c r="DG28" s="460"/>
      <c r="DH28" s="460"/>
      <c r="DI28" s="460"/>
      <c r="DJ28" s="460"/>
      <c r="DK28" s="460"/>
      <c r="DL28" s="460"/>
      <c r="DM28" s="460"/>
      <c r="DN28" s="460"/>
      <c r="DO28" s="460"/>
      <c r="DP28" s="460"/>
    </row>
    <row r="29" spans="1:120" s="439" customFormat="1" ht="14.25" customHeight="1">
      <c r="A29" s="280"/>
      <c r="B29" s="280"/>
      <c r="C29" s="278" t="s">
        <v>148</v>
      </c>
      <c r="D29" s="767" t="s">
        <v>114</v>
      </c>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7"/>
      <c r="AL29" s="767"/>
      <c r="AM29" s="767"/>
      <c r="AN29" s="767"/>
      <c r="AO29" s="767"/>
      <c r="AP29" s="767"/>
      <c r="AQ29" s="767"/>
      <c r="AR29" s="767"/>
      <c r="AS29" s="767"/>
      <c r="AT29" s="767"/>
      <c r="AU29" s="767"/>
      <c r="AV29" s="767"/>
      <c r="AW29" s="767"/>
      <c r="AX29" s="767"/>
      <c r="AY29" s="767"/>
      <c r="AZ29" s="767"/>
      <c r="BA29" s="767"/>
      <c r="BB29" s="767"/>
      <c r="BC29" s="458"/>
      <c r="BD29" s="299">
        <v>16</v>
      </c>
      <c r="BE29" s="284" t="s">
        <v>605</v>
      </c>
      <c r="BF29" s="82" t="s">
        <v>313</v>
      </c>
      <c r="BG29" s="82">
        <f>SUM(F12:F16)+SUM(F18:F19)</f>
        <v>0</v>
      </c>
      <c r="BH29" s="82"/>
      <c r="BI29" s="82">
        <f aca="true" t="shared" si="26" ref="BI29:DA29">SUM(H12:H16)+SUM(H18:H19)</f>
        <v>0</v>
      </c>
      <c r="BJ29" s="82"/>
      <c r="BK29" s="82">
        <f t="shared" si="26"/>
        <v>0</v>
      </c>
      <c r="BL29" s="82"/>
      <c r="BM29" s="82">
        <f t="shared" si="26"/>
        <v>0</v>
      </c>
      <c r="BN29" s="82"/>
      <c r="BO29" s="82">
        <f t="shared" si="26"/>
        <v>0</v>
      </c>
      <c r="BP29" s="82"/>
      <c r="BQ29" s="82">
        <f t="shared" si="26"/>
        <v>0</v>
      </c>
      <c r="BR29" s="82"/>
      <c r="BS29" s="82">
        <f t="shared" si="26"/>
        <v>0</v>
      </c>
      <c r="BT29" s="82"/>
      <c r="BU29" s="82">
        <f t="shared" si="26"/>
        <v>0</v>
      </c>
      <c r="BV29" s="82"/>
      <c r="BW29" s="82">
        <f t="shared" si="26"/>
        <v>0</v>
      </c>
      <c r="BX29" s="82"/>
      <c r="BY29" s="82">
        <f t="shared" si="26"/>
        <v>0</v>
      </c>
      <c r="BZ29" s="82"/>
      <c r="CA29" s="82">
        <f t="shared" si="26"/>
        <v>0</v>
      </c>
      <c r="CB29" s="82"/>
      <c r="CC29" s="82">
        <f t="shared" si="26"/>
        <v>0</v>
      </c>
      <c r="CD29" s="82"/>
      <c r="CE29" s="82">
        <f t="shared" si="26"/>
        <v>0</v>
      </c>
      <c r="CF29" s="82"/>
      <c r="CG29" s="82">
        <f t="shared" si="26"/>
        <v>0</v>
      </c>
      <c r="CH29" s="82"/>
      <c r="CI29" s="82">
        <f t="shared" si="26"/>
        <v>0</v>
      </c>
      <c r="CJ29" s="82"/>
      <c r="CK29" s="82">
        <f t="shared" si="26"/>
        <v>0</v>
      </c>
      <c r="CL29" s="82"/>
      <c r="CM29" s="82">
        <f t="shared" si="26"/>
        <v>0</v>
      </c>
      <c r="CN29" s="82"/>
      <c r="CO29" s="82">
        <f t="shared" si="26"/>
        <v>0</v>
      </c>
      <c r="CP29" s="82"/>
      <c r="CQ29" s="82">
        <f t="shared" si="26"/>
        <v>0</v>
      </c>
      <c r="CR29" s="82"/>
      <c r="CS29" s="82">
        <f t="shared" si="26"/>
        <v>0</v>
      </c>
      <c r="CT29" s="82"/>
      <c r="CU29" s="82">
        <f t="shared" si="26"/>
        <v>0</v>
      </c>
      <c r="CV29" s="82"/>
      <c r="CW29" s="82">
        <f t="shared" si="26"/>
        <v>0</v>
      </c>
      <c r="CX29" s="82"/>
      <c r="CY29" s="82">
        <f t="shared" si="26"/>
        <v>0</v>
      </c>
      <c r="CZ29" s="82"/>
      <c r="DA29" s="82">
        <f t="shared" si="26"/>
        <v>0</v>
      </c>
      <c r="DB29" s="460"/>
      <c r="DC29" s="460"/>
      <c r="DD29" s="460"/>
      <c r="DE29" s="460"/>
      <c r="DF29" s="460"/>
      <c r="DG29" s="460"/>
      <c r="DH29" s="460"/>
      <c r="DI29" s="460"/>
      <c r="DJ29" s="460"/>
      <c r="DK29" s="460"/>
      <c r="DL29" s="460"/>
      <c r="DM29" s="460"/>
      <c r="DN29" s="460"/>
      <c r="DO29" s="460"/>
      <c r="DP29" s="460"/>
    </row>
    <row r="30" spans="1:120" s="439" customFormat="1" ht="16.5" customHeight="1">
      <c r="A30" s="280"/>
      <c r="B30" s="280"/>
      <c r="C30" s="278"/>
      <c r="D30" s="771"/>
      <c r="E30" s="771"/>
      <c r="F30" s="771"/>
      <c r="G30" s="771"/>
      <c r="H30" s="771"/>
      <c r="I30" s="771"/>
      <c r="J30" s="771"/>
      <c r="K30" s="771"/>
      <c r="L30" s="771"/>
      <c r="M30" s="771"/>
      <c r="N30" s="771"/>
      <c r="O30" s="771"/>
      <c r="P30" s="771"/>
      <c r="Q30" s="771"/>
      <c r="R30" s="771"/>
      <c r="S30" s="771"/>
      <c r="T30" s="771"/>
      <c r="U30" s="771"/>
      <c r="V30" s="771"/>
      <c r="W30" s="771"/>
      <c r="X30" s="771"/>
      <c r="Y30" s="771"/>
      <c r="Z30" s="771"/>
      <c r="AA30" s="771"/>
      <c r="AB30" s="771"/>
      <c r="AC30" s="771"/>
      <c r="AD30" s="771"/>
      <c r="AE30" s="771"/>
      <c r="AF30" s="771"/>
      <c r="AG30" s="771"/>
      <c r="AH30" s="771"/>
      <c r="AI30" s="771"/>
      <c r="AJ30" s="771"/>
      <c r="AK30" s="771"/>
      <c r="AL30" s="771"/>
      <c r="AM30" s="771"/>
      <c r="AN30" s="771"/>
      <c r="AO30" s="771"/>
      <c r="AP30" s="771"/>
      <c r="AQ30" s="771"/>
      <c r="AR30" s="771"/>
      <c r="AS30" s="771"/>
      <c r="AT30" s="771"/>
      <c r="AU30" s="771"/>
      <c r="AV30" s="771"/>
      <c r="AW30" s="771"/>
      <c r="AX30" s="771"/>
      <c r="AY30" s="771"/>
      <c r="AZ30" s="771"/>
      <c r="BA30" s="771"/>
      <c r="BB30" s="771"/>
      <c r="BC30" s="458"/>
      <c r="BD30" s="287" t="s">
        <v>182</v>
      </c>
      <c r="BE30" s="284" t="s">
        <v>606</v>
      </c>
      <c r="BF30" s="82"/>
      <c r="BG30" s="82" t="str">
        <f>IF(OR(ISBLANK(F12),ISBLANK(F13),ISBLANK(F14),ISBLANK(F15),ISBLANK(F16),ISBLANK(F18),ISBLANK(F19),ISBLANK(F10)),"N/A",IF((BG26=BG29),"ok","&lt;&gt;"))</f>
        <v>N/A</v>
      </c>
      <c r="BH30" s="82"/>
      <c r="BI30" s="82" t="str">
        <f aca="true" t="shared" si="27" ref="BI30:DA30">IF(OR(ISBLANK(H12),ISBLANK(H13),ISBLANK(H14),ISBLANK(H15),ISBLANK(H16),ISBLANK(H18),ISBLANK(H19),ISBLANK(H10)),"N/A",IF((BI26=BI29),"ok","&lt;&gt;"))</f>
        <v>N/A</v>
      </c>
      <c r="BJ30" s="82"/>
      <c r="BK30" s="82" t="str">
        <f t="shared" si="27"/>
        <v>N/A</v>
      </c>
      <c r="BL30" s="82"/>
      <c r="BM30" s="82" t="str">
        <f t="shared" si="27"/>
        <v>N/A</v>
      </c>
      <c r="BN30" s="82"/>
      <c r="BO30" s="82" t="str">
        <f t="shared" si="27"/>
        <v>N/A</v>
      </c>
      <c r="BP30" s="82"/>
      <c r="BQ30" s="82" t="str">
        <f t="shared" si="27"/>
        <v>N/A</v>
      </c>
      <c r="BR30" s="82"/>
      <c r="BS30" s="82" t="str">
        <f t="shared" si="27"/>
        <v>N/A</v>
      </c>
      <c r="BT30" s="82"/>
      <c r="BU30" s="82" t="str">
        <f t="shared" si="27"/>
        <v>N/A</v>
      </c>
      <c r="BV30" s="82"/>
      <c r="BW30" s="82" t="str">
        <f t="shared" si="27"/>
        <v>N/A</v>
      </c>
      <c r="BX30" s="82"/>
      <c r="BY30" s="82" t="str">
        <f t="shared" si="27"/>
        <v>N/A</v>
      </c>
      <c r="BZ30" s="82"/>
      <c r="CA30" s="82" t="str">
        <f t="shared" si="27"/>
        <v>N/A</v>
      </c>
      <c r="CB30" s="82"/>
      <c r="CC30" s="82" t="str">
        <f t="shared" si="27"/>
        <v>N/A</v>
      </c>
      <c r="CD30" s="82"/>
      <c r="CE30" s="82" t="str">
        <f t="shared" si="27"/>
        <v>N/A</v>
      </c>
      <c r="CF30" s="82"/>
      <c r="CG30" s="82" t="str">
        <f t="shared" si="27"/>
        <v>N/A</v>
      </c>
      <c r="CH30" s="82"/>
      <c r="CI30" s="82" t="str">
        <f t="shared" si="27"/>
        <v>N/A</v>
      </c>
      <c r="CJ30" s="82"/>
      <c r="CK30" s="82" t="str">
        <f t="shared" si="27"/>
        <v>N/A</v>
      </c>
      <c r="CL30" s="82"/>
      <c r="CM30" s="82" t="str">
        <f t="shared" si="27"/>
        <v>N/A</v>
      </c>
      <c r="CN30" s="82"/>
      <c r="CO30" s="82" t="str">
        <f t="shared" si="27"/>
        <v>N/A</v>
      </c>
      <c r="CP30" s="82"/>
      <c r="CQ30" s="82" t="str">
        <f t="shared" si="27"/>
        <v>N/A</v>
      </c>
      <c r="CR30" s="82"/>
      <c r="CS30" s="82" t="str">
        <f t="shared" si="27"/>
        <v>N/A</v>
      </c>
      <c r="CT30" s="82"/>
      <c r="CU30" s="82" t="str">
        <f t="shared" si="27"/>
        <v>N/A</v>
      </c>
      <c r="CV30" s="82"/>
      <c r="CW30" s="82" t="str">
        <f t="shared" si="27"/>
        <v>N/A</v>
      </c>
      <c r="CX30" s="82"/>
      <c r="CY30" s="82" t="str">
        <f t="shared" si="27"/>
        <v>N/A</v>
      </c>
      <c r="CZ30" s="82"/>
      <c r="DA30" s="82" t="str">
        <f t="shared" si="27"/>
        <v>N/A</v>
      </c>
      <c r="DB30" s="460"/>
      <c r="DC30" s="460"/>
      <c r="DD30" s="460"/>
      <c r="DE30" s="460"/>
      <c r="DF30" s="460"/>
      <c r="DG30" s="460"/>
      <c r="DH30" s="460"/>
      <c r="DI30" s="460"/>
      <c r="DJ30" s="460"/>
      <c r="DK30" s="460"/>
      <c r="DL30" s="460"/>
      <c r="DM30" s="460"/>
      <c r="DN30" s="460"/>
      <c r="DO30" s="460"/>
      <c r="DP30" s="460"/>
    </row>
    <row r="31" spans="1:120" ht="20.25" customHeight="1">
      <c r="A31" s="280"/>
      <c r="B31" s="280"/>
      <c r="C31" s="278"/>
      <c r="D31" s="288"/>
      <c r="E31" s="288"/>
      <c r="F31" s="288"/>
      <c r="G31" s="288"/>
      <c r="H31" s="288"/>
      <c r="I31" s="288"/>
      <c r="J31" s="288"/>
      <c r="K31" s="288"/>
      <c r="L31" s="288"/>
      <c r="M31" s="288"/>
      <c r="N31" s="288"/>
      <c r="O31" s="288"/>
      <c r="P31" s="288"/>
      <c r="Q31" s="288"/>
      <c r="R31" s="288"/>
      <c r="S31" s="288"/>
      <c r="T31" s="288"/>
      <c r="U31" s="840" t="str">
        <f>D12&amp;" (W3,4)"</f>
        <v>Households (W3,4)</v>
      </c>
      <c r="V31" s="841"/>
      <c r="W31" s="841"/>
      <c r="X31" s="841"/>
      <c r="Y31" s="841"/>
      <c r="Z31" s="841"/>
      <c r="AA31" s="841"/>
      <c r="AB31" s="842"/>
      <c r="AC31" s="288"/>
      <c r="AD31" s="288"/>
      <c r="AE31" s="288"/>
      <c r="AF31" s="288"/>
      <c r="AG31" s="288"/>
      <c r="AH31" s="288"/>
      <c r="AI31" s="288"/>
      <c r="AJ31" s="288"/>
      <c r="AK31" s="288"/>
      <c r="AL31" s="753"/>
      <c r="AM31" s="753"/>
      <c r="AN31" s="753"/>
      <c r="AO31" s="753"/>
      <c r="AP31" s="753"/>
      <c r="AQ31" s="753"/>
      <c r="AR31" s="753"/>
      <c r="AS31" s="753"/>
      <c r="AT31" s="753"/>
      <c r="AU31" s="753"/>
      <c r="AV31" s="289"/>
      <c r="AW31" s="289"/>
      <c r="AX31" s="289"/>
      <c r="AY31" s="289"/>
      <c r="AZ31" s="461"/>
      <c r="BA31" s="462"/>
      <c r="BB31" s="288"/>
      <c r="BC31" s="463"/>
      <c r="BD31" s="313" t="s">
        <v>182</v>
      </c>
      <c r="BE31" s="464" t="s">
        <v>607</v>
      </c>
      <c r="BF31" s="98"/>
      <c r="BG31" s="98" t="str">
        <f>IF(OR(ISBLANK(F21),ISBLANK(F22),ISBLANK(F23)),"N/A",IF(F21&lt;F23,"&lt;&gt;",IF(F21&gt;F22,"&lt;&gt;","ok")))</f>
        <v>N/A</v>
      </c>
      <c r="BH31" s="98"/>
      <c r="BI31" s="98" t="str">
        <f aca="true" t="shared" si="28" ref="BI31:DA31">IF(OR(ISBLANK(H21),ISBLANK(H22),ISBLANK(H23)),"N/A",IF(H21&lt;H23,"&lt;&gt;",IF(H21&gt;H22,"&lt;&gt;","ok")))</f>
        <v>N/A</v>
      </c>
      <c r="BJ31" s="98"/>
      <c r="BK31" s="98" t="str">
        <f t="shared" si="28"/>
        <v>N/A</v>
      </c>
      <c r="BL31" s="98"/>
      <c r="BM31" s="98" t="str">
        <f t="shared" si="28"/>
        <v>N/A</v>
      </c>
      <c r="BN31" s="98"/>
      <c r="BO31" s="98" t="str">
        <f t="shared" si="28"/>
        <v>N/A</v>
      </c>
      <c r="BP31" s="98"/>
      <c r="BQ31" s="98" t="str">
        <f t="shared" si="28"/>
        <v>N/A</v>
      </c>
      <c r="BR31" s="98"/>
      <c r="BS31" s="98" t="str">
        <f t="shared" si="28"/>
        <v>N/A</v>
      </c>
      <c r="BT31" s="98"/>
      <c r="BU31" s="98" t="str">
        <f t="shared" si="28"/>
        <v>N/A</v>
      </c>
      <c r="BV31" s="98"/>
      <c r="BW31" s="98" t="str">
        <f t="shared" si="28"/>
        <v>N/A</v>
      </c>
      <c r="BX31" s="98"/>
      <c r="BY31" s="98" t="str">
        <f t="shared" si="28"/>
        <v>N/A</v>
      </c>
      <c r="BZ31" s="98"/>
      <c r="CA31" s="98" t="str">
        <f t="shared" si="28"/>
        <v>N/A</v>
      </c>
      <c r="CB31" s="98"/>
      <c r="CC31" s="98" t="str">
        <f t="shared" si="28"/>
        <v>N/A</v>
      </c>
      <c r="CD31" s="98"/>
      <c r="CE31" s="98" t="str">
        <f t="shared" si="28"/>
        <v>N/A</v>
      </c>
      <c r="CF31" s="98"/>
      <c r="CG31" s="98" t="str">
        <f t="shared" si="28"/>
        <v>N/A</v>
      </c>
      <c r="CH31" s="98"/>
      <c r="CI31" s="98" t="str">
        <f t="shared" si="28"/>
        <v>N/A</v>
      </c>
      <c r="CJ31" s="98"/>
      <c r="CK31" s="98" t="str">
        <f t="shared" si="28"/>
        <v>N/A</v>
      </c>
      <c r="CL31" s="98"/>
      <c r="CM31" s="98" t="str">
        <f t="shared" si="28"/>
        <v>N/A</v>
      </c>
      <c r="CN31" s="98"/>
      <c r="CO31" s="98" t="str">
        <f t="shared" si="28"/>
        <v>N/A</v>
      </c>
      <c r="CP31" s="98"/>
      <c r="CQ31" s="98" t="str">
        <f t="shared" si="28"/>
        <v>N/A</v>
      </c>
      <c r="CR31" s="98"/>
      <c r="CS31" s="98" t="str">
        <f t="shared" si="28"/>
        <v>N/A</v>
      </c>
      <c r="CT31" s="98"/>
      <c r="CU31" s="98" t="str">
        <f t="shared" si="28"/>
        <v>N/A</v>
      </c>
      <c r="CV31" s="98"/>
      <c r="CW31" s="98" t="str">
        <f t="shared" si="28"/>
        <v>N/A</v>
      </c>
      <c r="CX31" s="98"/>
      <c r="CY31" s="98" t="str">
        <f t="shared" si="28"/>
        <v>N/A</v>
      </c>
      <c r="CZ31" s="98"/>
      <c r="DA31" s="98" t="str">
        <f t="shared" si="28"/>
        <v>N/A</v>
      </c>
      <c r="DB31" s="285"/>
      <c r="DC31" s="285"/>
      <c r="DD31" s="285"/>
      <c r="DE31" s="285"/>
      <c r="DF31" s="285"/>
      <c r="DG31" s="285"/>
      <c r="DH31" s="285"/>
      <c r="DI31" s="285"/>
      <c r="DJ31" s="285"/>
      <c r="DK31" s="285"/>
      <c r="DL31" s="285"/>
      <c r="DM31" s="285"/>
      <c r="DN31" s="285"/>
      <c r="DO31" s="285"/>
      <c r="DP31" s="285"/>
    </row>
    <row r="32" spans="1:120" ht="3.75" customHeight="1">
      <c r="A32" s="280"/>
      <c r="B32" s="280"/>
      <c r="C32" s="278"/>
      <c r="D32" s="288"/>
      <c r="E32" s="288"/>
      <c r="F32" s="288"/>
      <c r="G32" s="288"/>
      <c r="H32" s="288"/>
      <c r="I32" s="288"/>
      <c r="J32" s="288"/>
      <c r="K32" s="831" t="str">
        <f>LEFT(D10,LEN(D10)-25)&amp;" (W3,3)"</f>
        <v>Net freshwater supplied by water supply industry (ISIC 36)   (W3,3)</v>
      </c>
      <c r="L32" s="832"/>
      <c r="M32" s="832"/>
      <c r="N32" s="833"/>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465"/>
      <c r="AM32" s="465"/>
      <c r="AN32" s="465"/>
      <c r="AO32" s="465"/>
      <c r="AP32" s="465"/>
      <c r="AQ32" s="465"/>
      <c r="AR32" s="465"/>
      <c r="AS32" s="465"/>
      <c r="AT32" s="465"/>
      <c r="AU32" s="465"/>
      <c r="AV32" s="465"/>
      <c r="AW32" s="465"/>
      <c r="AX32" s="465"/>
      <c r="AY32" s="465"/>
      <c r="AZ32" s="288"/>
      <c r="BA32" s="466"/>
      <c r="BB32" s="288"/>
      <c r="BC32" s="463"/>
      <c r="BD32" s="82"/>
      <c r="BE32" s="467"/>
      <c r="BF32" s="82"/>
      <c r="BG32" s="82"/>
      <c r="BH32" s="82"/>
      <c r="BI32" s="83"/>
      <c r="BJ32" s="83"/>
      <c r="BK32" s="83"/>
      <c r="BL32" s="83"/>
      <c r="BM32" s="83"/>
      <c r="BN32" s="83"/>
      <c r="BO32" s="83"/>
      <c r="BP32" s="83"/>
      <c r="BQ32" s="83"/>
      <c r="BR32" s="83"/>
      <c r="BS32" s="83"/>
      <c r="BT32" s="83"/>
      <c r="BU32" s="83"/>
      <c r="BV32" s="83"/>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285"/>
      <c r="DC32" s="285"/>
      <c r="DD32" s="285"/>
      <c r="DE32" s="285"/>
      <c r="DF32" s="285"/>
      <c r="DG32" s="285"/>
      <c r="DH32" s="285"/>
      <c r="DI32" s="285"/>
      <c r="DJ32" s="285"/>
      <c r="DK32" s="285"/>
      <c r="DL32" s="285"/>
      <c r="DM32" s="285"/>
      <c r="DN32" s="285"/>
      <c r="DO32" s="285"/>
      <c r="DP32" s="285"/>
    </row>
    <row r="33" spans="1:120" ht="28.5" customHeight="1">
      <c r="A33" s="280"/>
      <c r="B33" s="280"/>
      <c r="C33" s="278"/>
      <c r="D33" s="828" t="str">
        <f>D8&amp;" (W3, 1)"</f>
        <v>Gross freshwater supplied by water supply industry (ISIC 36) (W3, 1)</v>
      </c>
      <c r="E33" s="289"/>
      <c r="F33" s="629"/>
      <c r="G33" s="629"/>
      <c r="H33" s="629"/>
      <c r="I33" s="629"/>
      <c r="J33" s="629"/>
      <c r="K33" s="834"/>
      <c r="L33" s="835"/>
      <c r="M33" s="835"/>
      <c r="N33" s="836"/>
      <c r="O33" s="629"/>
      <c r="P33" s="847" t="s">
        <v>17</v>
      </c>
      <c r="Q33" s="847"/>
      <c r="R33" s="629"/>
      <c r="S33" s="629"/>
      <c r="T33" s="629"/>
      <c r="U33" s="840" t="str">
        <f>D13&amp;" (W3,5)"</f>
        <v>Agriculture, forestry and fishing (ISIC 01-03) (W3,5)</v>
      </c>
      <c r="V33" s="841"/>
      <c r="W33" s="841"/>
      <c r="X33" s="841"/>
      <c r="Y33" s="841"/>
      <c r="Z33" s="841"/>
      <c r="AA33" s="841"/>
      <c r="AB33" s="842"/>
      <c r="AC33" s="290"/>
      <c r="AD33" s="289"/>
      <c r="AE33" s="625"/>
      <c r="AF33" s="625"/>
      <c r="AG33" s="468"/>
      <c r="AH33" s="848"/>
      <c r="AI33" s="848"/>
      <c r="AJ33" s="288"/>
      <c r="AK33" s="288"/>
      <c r="AL33" s="753"/>
      <c r="AM33" s="753"/>
      <c r="AN33" s="753"/>
      <c r="AO33" s="753"/>
      <c r="AP33" s="753"/>
      <c r="AQ33" s="753"/>
      <c r="AR33" s="753"/>
      <c r="AS33" s="753"/>
      <c r="AT33" s="753"/>
      <c r="AU33" s="753"/>
      <c r="AV33" s="289"/>
      <c r="AW33" s="289"/>
      <c r="AX33" s="289"/>
      <c r="AY33" s="289"/>
      <c r="AZ33" s="461"/>
      <c r="BA33" s="462"/>
      <c r="BB33" s="288"/>
      <c r="BC33" s="463"/>
      <c r="BD33" s="315" t="s">
        <v>57</v>
      </c>
      <c r="BE33" s="316" t="s">
        <v>58</v>
      </c>
      <c r="DB33" s="285"/>
      <c r="DC33" s="285"/>
      <c r="DD33" s="285"/>
      <c r="DE33" s="285"/>
      <c r="DF33" s="285"/>
      <c r="DG33" s="285"/>
      <c r="DH33" s="285"/>
      <c r="DI33" s="285"/>
      <c r="DJ33" s="285"/>
      <c r="DK33" s="285"/>
      <c r="DL33" s="285"/>
      <c r="DM33" s="285"/>
      <c r="DN33" s="285"/>
      <c r="DO33" s="285"/>
      <c r="DP33" s="285"/>
    </row>
    <row r="34" spans="1:120" ht="2.25" customHeight="1">
      <c r="A34" s="280"/>
      <c r="B34" s="280"/>
      <c r="C34" s="278"/>
      <c r="D34" s="829"/>
      <c r="E34" s="629"/>
      <c r="F34" s="629"/>
      <c r="G34" s="629"/>
      <c r="H34" s="629"/>
      <c r="I34" s="629"/>
      <c r="J34" s="629"/>
      <c r="K34" s="834"/>
      <c r="L34" s="835"/>
      <c r="M34" s="835"/>
      <c r="N34" s="836"/>
      <c r="O34" s="629"/>
      <c r="P34" s="629"/>
      <c r="Q34" s="629"/>
      <c r="R34" s="629"/>
      <c r="S34" s="629"/>
      <c r="T34" s="629"/>
      <c r="U34" s="629"/>
      <c r="V34" s="629"/>
      <c r="W34" s="629"/>
      <c r="X34" s="629"/>
      <c r="Y34" s="629"/>
      <c r="Z34" s="629"/>
      <c r="AA34" s="291"/>
      <c r="AB34" s="290"/>
      <c r="AC34" s="290"/>
      <c r="AD34" s="625"/>
      <c r="AE34" s="625"/>
      <c r="AF34" s="625"/>
      <c r="AG34" s="468"/>
      <c r="AH34" s="468"/>
      <c r="AI34" s="468"/>
      <c r="AJ34" s="288"/>
      <c r="AK34" s="288"/>
      <c r="AL34" s="556"/>
      <c r="AM34" s="556"/>
      <c r="AN34" s="556"/>
      <c r="AO34" s="556"/>
      <c r="AP34" s="556"/>
      <c r="AQ34" s="556"/>
      <c r="AR34" s="556"/>
      <c r="AS34" s="556"/>
      <c r="AT34" s="556"/>
      <c r="AU34" s="556"/>
      <c r="AV34" s="465"/>
      <c r="AW34" s="465"/>
      <c r="AX34" s="465"/>
      <c r="AY34" s="465"/>
      <c r="AZ34" s="288"/>
      <c r="BA34" s="466"/>
      <c r="BB34" s="288"/>
      <c r="BC34" s="463"/>
      <c r="BF34" s="96"/>
      <c r="BG34" s="96"/>
      <c r="BH34" s="96"/>
      <c r="BI34" s="114"/>
      <c r="BJ34" s="114"/>
      <c r="BK34" s="114"/>
      <c r="BL34" s="114"/>
      <c r="BM34" s="114"/>
      <c r="BN34" s="114"/>
      <c r="BO34" s="114"/>
      <c r="BP34" s="114"/>
      <c r="BQ34" s="114"/>
      <c r="BR34" s="114"/>
      <c r="BS34" s="114"/>
      <c r="BT34" s="114"/>
      <c r="BU34" s="114"/>
      <c r="BV34" s="114"/>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285"/>
      <c r="DC34" s="285"/>
      <c r="DD34" s="285"/>
      <c r="DE34" s="285"/>
      <c r="DF34" s="285"/>
      <c r="DG34" s="285"/>
      <c r="DH34" s="285"/>
      <c r="DI34" s="285"/>
      <c r="DJ34" s="285"/>
      <c r="DK34" s="285"/>
      <c r="DL34" s="285"/>
      <c r="DM34" s="285"/>
      <c r="DN34" s="285"/>
      <c r="DO34" s="285"/>
      <c r="DP34" s="285"/>
    </row>
    <row r="35" spans="1:120" ht="27.75" customHeight="1">
      <c r="A35" s="280"/>
      <c r="B35" s="280"/>
      <c r="C35" s="278"/>
      <c r="D35" s="829"/>
      <c r="E35" s="629"/>
      <c r="F35" s="629"/>
      <c r="G35" s="629"/>
      <c r="H35" s="629"/>
      <c r="I35" s="629"/>
      <c r="J35" s="629"/>
      <c r="K35" s="834"/>
      <c r="L35" s="835"/>
      <c r="M35" s="835"/>
      <c r="N35" s="836"/>
      <c r="O35" s="629"/>
      <c r="P35" s="629"/>
      <c r="Q35" s="629"/>
      <c r="R35" s="629"/>
      <c r="S35" s="629"/>
      <c r="T35" s="629"/>
      <c r="U35" s="840" t="str">
        <f>D14&amp;" (W3,6)"</f>
        <v>Mining and quarrying (ISIC 05-09) (W3,6)</v>
      </c>
      <c r="V35" s="841"/>
      <c r="W35" s="841"/>
      <c r="X35" s="841"/>
      <c r="Y35" s="841"/>
      <c r="Z35" s="841"/>
      <c r="AA35" s="841"/>
      <c r="AB35" s="842"/>
      <c r="AC35" s="290"/>
      <c r="AD35" s="625"/>
      <c r="AE35" s="625"/>
      <c r="AF35" s="625"/>
      <c r="AG35" s="468"/>
      <c r="AH35" s="468"/>
      <c r="AI35" s="468"/>
      <c r="AJ35" s="288"/>
      <c r="AK35" s="288"/>
      <c r="AL35" s="556"/>
      <c r="AM35" s="556"/>
      <c r="AN35" s="556"/>
      <c r="AO35" s="556"/>
      <c r="AP35" s="556"/>
      <c r="AQ35" s="556"/>
      <c r="AR35" s="556"/>
      <c r="AS35" s="556"/>
      <c r="AT35" s="556"/>
      <c r="AU35" s="556"/>
      <c r="AV35" s="465"/>
      <c r="AW35" s="465"/>
      <c r="AX35" s="465"/>
      <c r="AY35" s="465"/>
      <c r="AZ35" s="288"/>
      <c r="BA35" s="466"/>
      <c r="BB35" s="288"/>
      <c r="BC35" s="463"/>
      <c r="BD35" s="315" t="s">
        <v>59</v>
      </c>
      <c r="BE35" s="316" t="s">
        <v>60</v>
      </c>
      <c r="BF35" s="432"/>
      <c r="BG35" s="432"/>
      <c r="BH35" s="432"/>
      <c r="BI35" s="432"/>
      <c r="BJ35" s="432"/>
      <c r="BK35" s="432"/>
      <c r="BL35" s="432"/>
      <c r="BM35" s="432"/>
      <c r="BN35" s="432"/>
      <c r="BO35" s="432"/>
      <c r="BP35" s="432"/>
      <c r="BQ35" s="432"/>
      <c r="BR35" s="432"/>
      <c r="BS35" s="432"/>
      <c r="BT35" s="432"/>
      <c r="BU35" s="432"/>
      <c r="BV35" s="432"/>
      <c r="BW35" s="432"/>
      <c r="BX35" s="432"/>
      <c r="BY35" s="432"/>
      <c r="BZ35" s="432"/>
      <c r="CA35" s="432"/>
      <c r="CB35" s="432"/>
      <c r="CC35" s="432"/>
      <c r="CD35" s="432"/>
      <c r="CE35" s="432"/>
      <c r="CF35" s="432"/>
      <c r="CG35" s="432"/>
      <c r="CH35" s="432"/>
      <c r="CI35" s="432"/>
      <c r="CJ35" s="432"/>
      <c r="CK35" s="432"/>
      <c r="CL35" s="432"/>
      <c r="CM35" s="432"/>
      <c r="CN35" s="432"/>
      <c r="CO35" s="432"/>
      <c r="CP35" s="432"/>
      <c r="CQ35" s="432"/>
      <c r="CR35" s="432"/>
      <c r="CS35" s="432"/>
      <c r="CT35" s="432"/>
      <c r="CU35" s="432"/>
      <c r="CV35" s="432"/>
      <c r="CW35" s="432"/>
      <c r="CX35" s="432"/>
      <c r="CY35" s="432"/>
      <c r="CZ35" s="432"/>
      <c r="DA35" s="432"/>
      <c r="DB35" s="285"/>
      <c r="DC35" s="285"/>
      <c r="DD35" s="285"/>
      <c r="DE35" s="285"/>
      <c r="DF35" s="285"/>
      <c r="DG35" s="285"/>
      <c r="DH35" s="285"/>
      <c r="DI35" s="285"/>
      <c r="DJ35" s="285"/>
      <c r="DK35" s="285"/>
      <c r="DL35" s="285"/>
      <c r="DM35" s="285"/>
      <c r="DN35" s="285"/>
      <c r="DO35" s="285"/>
      <c r="DP35" s="285"/>
    </row>
    <row r="36" spans="1:120" ht="2.25" customHeight="1">
      <c r="A36" s="280"/>
      <c r="B36" s="280"/>
      <c r="C36" s="278"/>
      <c r="D36" s="829"/>
      <c r="E36" s="629"/>
      <c r="F36" s="629"/>
      <c r="G36" s="629"/>
      <c r="H36" s="629"/>
      <c r="I36" s="629"/>
      <c r="J36" s="629"/>
      <c r="K36" s="834"/>
      <c r="L36" s="835"/>
      <c r="M36" s="835"/>
      <c r="N36" s="836"/>
      <c r="O36" s="629"/>
      <c r="P36" s="629"/>
      <c r="Q36" s="629"/>
      <c r="R36" s="629"/>
      <c r="S36" s="629"/>
      <c r="T36" s="629"/>
      <c r="U36" s="629"/>
      <c r="V36" s="629"/>
      <c r="W36" s="629"/>
      <c r="X36" s="629"/>
      <c r="Y36" s="629"/>
      <c r="Z36" s="629"/>
      <c r="AA36" s="291"/>
      <c r="AB36" s="290"/>
      <c r="AC36" s="290"/>
      <c r="AD36" s="625"/>
      <c r="AE36" s="625"/>
      <c r="AF36" s="625"/>
      <c r="AG36" s="468"/>
      <c r="AH36" s="468"/>
      <c r="AI36" s="468"/>
      <c r="AJ36" s="288"/>
      <c r="AK36" s="288"/>
      <c r="AL36" s="556"/>
      <c r="AM36" s="556"/>
      <c r="AN36" s="556"/>
      <c r="AO36" s="556"/>
      <c r="AP36" s="556"/>
      <c r="AQ36" s="556"/>
      <c r="AR36" s="556"/>
      <c r="AS36" s="556"/>
      <c r="AT36" s="556"/>
      <c r="AU36" s="556"/>
      <c r="AV36" s="465"/>
      <c r="AW36" s="465"/>
      <c r="AX36" s="465"/>
      <c r="AY36" s="465"/>
      <c r="AZ36" s="288"/>
      <c r="BA36" s="466"/>
      <c r="BB36" s="288"/>
      <c r="BC36" s="463"/>
      <c r="BF36" s="96"/>
      <c r="BG36" s="96"/>
      <c r="BH36" s="96"/>
      <c r="BI36" s="114"/>
      <c r="BJ36" s="114"/>
      <c r="BK36" s="114"/>
      <c r="BL36" s="114"/>
      <c r="BM36" s="114"/>
      <c r="BN36" s="114"/>
      <c r="BO36" s="114"/>
      <c r="BP36" s="114"/>
      <c r="BQ36" s="114"/>
      <c r="BR36" s="114"/>
      <c r="BS36" s="114"/>
      <c r="BT36" s="114"/>
      <c r="BU36" s="114"/>
      <c r="BV36" s="114"/>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285"/>
      <c r="DC36" s="285"/>
      <c r="DD36" s="285"/>
      <c r="DE36" s="285"/>
      <c r="DF36" s="285"/>
      <c r="DG36" s="285"/>
      <c r="DH36" s="285"/>
      <c r="DI36" s="285"/>
      <c r="DJ36" s="285"/>
      <c r="DK36" s="285"/>
      <c r="DL36" s="285"/>
      <c r="DM36" s="285"/>
      <c r="DN36" s="285"/>
      <c r="DO36" s="285"/>
      <c r="DP36" s="285"/>
    </row>
    <row r="37" spans="1:120" ht="28.5" customHeight="1">
      <c r="A37" s="280"/>
      <c r="B37" s="280"/>
      <c r="C37" s="278"/>
      <c r="D37" s="830"/>
      <c r="E37" s="629"/>
      <c r="F37" s="629"/>
      <c r="G37" s="629"/>
      <c r="H37" s="629"/>
      <c r="I37" s="629"/>
      <c r="J37" s="629"/>
      <c r="K37" s="837"/>
      <c r="L37" s="838"/>
      <c r="M37" s="838"/>
      <c r="N37" s="839"/>
      <c r="O37" s="629"/>
      <c r="P37" s="629"/>
      <c r="Q37" s="629"/>
      <c r="R37" s="629"/>
      <c r="S37" s="629"/>
      <c r="T37" s="629"/>
      <c r="U37" s="840" t="str">
        <f>D15&amp;" (W3,7)"</f>
        <v>Manufacturing (ISIC 10-33) (W3,7)</v>
      </c>
      <c r="V37" s="841"/>
      <c r="W37" s="841"/>
      <c r="X37" s="841"/>
      <c r="Y37" s="841"/>
      <c r="Z37" s="841"/>
      <c r="AA37" s="841"/>
      <c r="AB37" s="842"/>
      <c r="AC37" s="290"/>
      <c r="AD37" s="625"/>
      <c r="AE37" s="625"/>
      <c r="AF37" s="625"/>
      <c r="AG37" s="288"/>
      <c r="AH37" s="288"/>
      <c r="AI37" s="288"/>
      <c r="AJ37" s="288"/>
      <c r="AK37" s="288"/>
      <c r="AL37" s="753"/>
      <c r="AM37" s="753"/>
      <c r="AN37" s="753"/>
      <c r="AO37" s="753"/>
      <c r="AP37" s="753"/>
      <c r="AQ37" s="753"/>
      <c r="AR37" s="753"/>
      <c r="AS37" s="753"/>
      <c r="AT37" s="753"/>
      <c r="AU37" s="753"/>
      <c r="AV37" s="289"/>
      <c r="AW37" s="289"/>
      <c r="AX37" s="289"/>
      <c r="AY37" s="289"/>
      <c r="AZ37" s="461"/>
      <c r="BA37" s="462"/>
      <c r="BB37" s="288"/>
      <c r="BC37" s="463"/>
      <c r="BD37" s="317" t="s">
        <v>62</v>
      </c>
      <c r="BE37" s="316" t="s">
        <v>64</v>
      </c>
      <c r="BF37" s="432"/>
      <c r="BG37" s="432"/>
      <c r="BH37" s="432"/>
      <c r="BI37" s="432"/>
      <c r="BJ37" s="432"/>
      <c r="BK37" s="432"/>
      <c r="BL37" s="432"/>
      <c r="BM37" s="432"/>
      <c r="BN37" s="432"/>
      <c r="BO37" s="432"/>
      <c r="BP37" s="432"/>
      <c r="BQ37" s="432"/>
      <c r="BR37" s="432"/>
      <c r="BS37" s="432"/>
      <c r="BT37" s="432"/>
      <c r="BU37" s="432"/>
      <c r="BV37" s="432"/>
      <c r="BW37" s="432"/>
      <c r="BX37" s="432"/>
      <c r="BY37" s="432"/>
      <c r="BZ37" s="432"/>
      <c r="CA37" s="432"/>
      <c r="CB37" s="432"/>
      <c r="CC37" s="432"/>
      <c r="CD37" s="432"/>
      <c r="CE37" s="432"/>
      <c r="CF37" s="432"/>
      <c r="CG37" s="432"/>
      <c r="CH37" s="432"/>
      <c r="CI37" s="432"/>
      <c r="CJ37" s="432"/>
      <c r="CK37" s="432"/>
      <c r="CL37" s="432"/>
      <c r="CM37" s="432"/>
      <c r="CN37" s="432"/>
      <c r="CO37" s="432"/>
      <c r="CP37" s="432"/>
      <c r="CQ37" s="432"/>
      <c r="CR37" s="432"/>
      <c r="CS37" s="432"/>
      <c r="CT37" s="432"/>
      <c r="CU37" s="432"/>
      <c r="CV37" s="432"/>
      <c r="CW37" s="432"/>
      <c r="CX37" s="432"/>
      <c r="CY37" s="432"/>
      <c r="CZ37" s="432"/>
      <c r="DA37" s="432"/>
      <c r="DB37" s="285"/>
      <c r="DC37" s="285"/>
      <c r="DD37" s="285"/>
      <c r="DE37" s="285"/>
      <c r="DF37" s="285"/>
      <c r="DG37" s="285"/>
      <c r="DH37" s="285"/>
      <c r="DI37" s="285"/>
      <c r="DJ37" s="285"/>
      <c r="DK37" s="285"/>
      <c r="DL37" s="285"/>
      <c r="DM37" s="285"/>
      <c r="DN37" s="285"/>
      <c r="DO37" s="285"/>
      <c r="DP37" s="285"/>
    </row>
    <row r="38" spans="1:120" ht="2.25" customHeight="1">
      <c r="A38" s="280"/>
      <c r="B38" s="280"/>
      <c r="C38" s="278"/>
      <c r="D38" s="288"/>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88"/>
      <c r="AH38" s="288"/>
      <c r="AI38" s="288"/>
      <c r="AJ38" s="288"/>
      <c r="AK38" s="288"/>
      <c r="AL38" s="465"/>
      <c r="AM38" s="465"/>
      <c r="AN38" s="465"/>
      <c r="AO38" s="465"/>
      <c r="AP38" s="465"/>
      <c r="AQ38" s="465"/>
      <c r="AR38" s="465"/>
      <c r="AS38" s="465"/>
      <c r="AT38" s="465"/>
      <c r="AU38" s="465"/>
      <c r="AV38" s="465"/>
      <c r="AW38" s="465"/>
      <c r="AX38" s="465"/>
      <c r="AY38" s="465"/>
      <c r="AZ38" s="288"/>
      <c r="BA38" s="466"/>
      <c r="BB38" s="288"/>
      <c r="BC38" s="463"/>
      <c r="BD38" s="96"/>
      <c r="BE38" s="469"/>
      <c r="BF38" s="96"/>
      <c r="BG38" s="96"/>
      <c r="BH38" s="96"/>
      <c r="BI38" s="114"/>
      <c r="BJ38" s="114"/>
      <c r="BK38" s="114"/>
      <c r="BL38" s="114"/>
      <c r="BM38" s="114"/>
      <c r="BN38" s="114"/>
      <c r="BO38" s="114"/>
      <c r="BP38" s="114"/>
      <c r="BQ38" s="114"/>
      <c r="BR38" s="114"/>
      <c r="BS38" s="114"/>
      <c r="BT38" s="114"/>
      <c r="BU38" s="114"/>
      <c r="BV38" s="114"/>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285"/>
      <c r="DC38" s="285"/>
      <c r="DD38" s="285"/>
      <c r="DE38" s="285"/>
      <c r="DF38" s="285"/>
      <c r="DG38" s="285"/>
      <c r="DH38" s="285"/>
      <c r="DI38" s="285"/>
      <c r="DJ38" s="285"/>
      <c r="DK38" s="285"/>
      <c r="DL38" s="285"/>
      <c r="DM38" s="285"/>
      <c r="DN38" s="285"/>
      <c r="DO38" s="285"/>
      <c r="DP38" s="285"/>
    </row>
    <row r="39" spans="1:120" ht="27.75" customHeight="1">
      <c r="A39" s="280"/>
      <c r="B39" s="280"/>
      <c r="C39" s="278"/>
      <c r="D39" s="288"/>
      <c r="E39" s="291"/>
      <c r="F39" s="291"/>
      <c r="G39" s="291"/>
      <c r="H39" s="291"/>
      <c r="I39" s="291"/>
      <c r="J39" s="291"/>
      <c r="K39" s="291"/>
      <c r="L39" s="291"/>
      <c r="M39" s="291"/>
      <c r="N39" s="291"/>
      <c r="O39" s="291"/>
      <c r="P39" s="291"/>
      <c r="Q39" s="291"/>
      <c r="R39" s="291"/>
      <c r="S39" s="291"/>
      <c r="T39" s="291"/>
      <c r="U39" s="840" t="str">
        <f>D16&amp;" (W3,8)"</f>
        <v>Electricity, gas, steam and air conditioning supply  (ISIC 35) (W3,8)</v>
      </c>
      <c r="V39" s="841"/>
      <c r="W39" s="841"/>
      <c r="X39" s="841"/>
      <c r="Y39" s="841"/>
      <c r="Z39" s="841"/>
      <c r="AA39" s="841"/>
      <c r="AB39" s="842"/>
      <c r="AC39" s="291"/>
      <c r="AD39" s="291"/>
      <c r="AE39" s="291"/>
      <c r="AF39" s="291"/>
      <c r="AG39" s="288"/>
      <c r="AH39" s="288"/>
      <c r="AI39" s="288"/>
      <c r="AJ39" s="288"/>
      <c r="AK39" s="288"/>
      <c r="AL39" s="465"/>
      <c r="AM39" s="465"/>
      <c r="AN39" s="465"/>
      <c r="AO39" s="465"/>
      <c r="AP39" s="465"/>
      <c r="AQ39" s="465"/>
      <c r="AR39" s="465"/>
      <c r="AS39" s="465"/>
      <c r="AT39" s="465"/>
      <c r="AU39" s="465"/>
      <c r="AV39" s="465"/>
      <c r="AW39" s="465"/>
      <c r="AX39" s="465"/>
      <c r="AY39" s="465"/>
      <c r="AZ39" s="288"/>
      <c r="BA39" s="466"/>
      <c r="BB39" s="288"/>
      <c r="BC39" s="463"/>
      <c r="BD39" s="317" t="s">
        <v>61</v>
      </c>
      <c r="BE39" s="316" t="s">
        <v>13</v>
      </c>
      <c r="BF39" s="96"/>
      <c r="BG39" s="96"/>
      <c r="BH39" s="96"/>
      <c r="BI39" s="114"/>
      <c r="BJ39" s="114"/>
      <c r="BK39" s="114"/>
      <c r="BL39" s="114"/>
      <c r="BM39" s="114"/>
      <c r="BN39" s="114"/>
      <c r="BO39" s="114"/>
      <c r="BP39" s="114"/>
      <c r="BQ39" s="114"/>
      <c r="BR39" s="114"/>
      <c r="BS39" s="114"/>
      <c r="BT39" s="114"/>
      <c r="BU39" s="114"/>
      <c r="BV39" s="114"/>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285"/>
      <c r="DC39" s="285"/>
      <c r="DD39" s="285"/>
      <c r="DE39" s="285"/>
      <c r="DF39" s="285"/>
      <c r="DG39" s="285"/>
      <c r="DH39" s="285"/>
      <c r="DI39" s="285"/>
      <c r="DJ39" s="285"/>
      <c r="DK39" s="285"/>
      <c r="DL39" s="285"/>
      <c r="DM39" s="285"/>
      <c r="DN39" s="285"/>
      <c r="DO39" s="285"/>
      <c r="DP39" s="285"/>
    </row>
    <row r="40" spans="1:120" ht="2.25" customHeight="1">
      <c r="A40" s="280"/>
      <c r="B40" s="280"/>
      <c r="C40" s="278"/>
      <c r="D40" s="288"/>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88"/>
      <c r="AH40" s="288"/>
      <c r="AI40" s="288"/>
      <c r="AJ40" s="288"/>
      <c r="AK40" s="288"/>
      <c r="AL40" s="465"/>
      <c r="AM40" s="465"/>
      <c r="AN40" s="465"/>
      <c r="AO40" s="465"/>
      <c r="AP40" s="465"/>
      <c r="AQ40" s="465"/>
      <c r="AR40" s="465"/>
      <c r="AS40" s="465"/>
      <c r="AT40" s="465"/>
      <c r="AU40" s="465"/>
      <c r="AV40" s="465"/>
      <c r="AW40" s="465"/>
      <c r="AX40" s="465"/>
      <c r="AY40" s="465"/>
      <c r="AZ40" s="288"/>
      <c r="BA40" s="466"/>
      <c r="BB40" s="288"/>
      <c r="BC40" s="463"/>
      <c r="BF40" s="96"/>
      <c r="BG40" s="96"/>
      <c r="BH40" s="96"/>
      <c r="BI40" s="114"/>
      <c r="BJ40" s="114"/>
      <c r="BK40" s="114"/>
      <c r="BL40" s="114"/>
      <c r="BM40" s="114"/>
      <c r="BN40" s="114"/>
      <c r="BO40" s="114"/>
      <c r="BP40" s="114"/>
      <c r="BQ40" s="114"/>
      <c r="BR40" s="114"/>
      <c r="BS40" s="114"/>
      <c r="BT40" s="114"/>
      <c r="BU40" s="114"/>
      <c r="BV40" s="114"/>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285"/>
      <c r="DC40" s="285"/>
      <c r="DD40" s="285"/>
      <c r="DE40" s="285"/>
      <c r="DF40" s="285"/>
      <c r="DG40" s="285"/>
      <c r="DH40" s="285"/>
      <c r="DI40" s="285"/>
      <c r="DJ40" s="285"/>
      <c r="DK40" s="285"/>
      <c r="DL40" s="285"/>
      <c r="DM40" s="285"/>
      <c r="DN40" s="285"/>
      <c r="DO40" s="285"/>
      <c r="DP40" s="285"/>
    </row>
    <row r="41" spans="1:120" ht="24" customHeight="1">
      <c r="A41" s="280"/>
      <c r="B41" s="280"/>
      <c r="C41" s="278"/>
      <c r="D41" s="288"/>
      <c r="E41" s="291"/>
      <c r="F41" s="291"/>
      <c r="G41" s="291"/>
      <c r="H41" s="291"/>
      <c r="I41" s="291"/>
      <c r="J41" s="291"/>
      <c r="K41" s="291"/>
      <c r="L41" s="291"/>
      <c r="M41" s="291"/>
      <c r="N41" s="291"/>
      <c r="O41" s="291"/>
      <c r="P41" s="291"/>
      <c r="Q41" s="291"/>
      <c r="R41" s="291"/>
      <c r="S41" s="291"/>
      <c r="T41" s="291"/>
      <c r="U41" s="840" t="str">
        <f>D18&amp;" (W3,10)"</f>
        <v>Construction (ISIC 41-43) (W3,10)</v>
      </c>
      <c r="V41" s="841"/>
      <c r="W41" s="841"/>
      <c r="X41" s="841"/>
      <c r="Y41" s="841"/>
      <c r="Z41" s="841"/>
      <c r="AA41" s="841"/>
      <c r="AB41" s="842"/>
      <c r="AC41" s="291"/>
      <c r="AD41" s="291"/>
      <c r="AE41" s="291"/>
      <c r="AF41" s="291"/>
      <c r="AG41" s="288"/>
      <c r="AH41" s="288"/>
      <c r="AI41" s="288"/>
      <c r="AJ41" s="288"/>
      <c r="AK41" s="288"/>
      <c r="AL41" s="289"/>
      <c r="AM41" s="289"/>
      <c r="AN41" s="289"/>
      <c r="AO41" s="289"/>
      <c r="AP41" s="289"/>
      <c r="AQ41" s="289"/>
      <c r="AR41" s="289"/>
      <c r="AS41" s="289"/>
      <c r="AT41" s="289"/>
      <c r="AU41" s="289"/>
      <c r="AV41" s="289"/>
      <c r="AW41" s="289"/>
      <c r="AX41" s="289"/>
      <c r="AY41" s="289"/>
      <c r="AZ41" s="461"/>
      <c r="BA41" s="462"/>
      <c r="BB41" s="288"/>
      <c r="BC41" s="463"/>
      <c r="BD41" s="317" t="s">
        <v>62</v>
      </c>
      <c r="BE41" s="316" t="s">
        <v>64</v>
      </c>
      <c r="BF41" s="432"/>
      <c r="BG41" s="432"/>
      <c r="BH41" s="432"/>
      <c r="BI41" s="432"/>
      <c r="BJ41" s="432"/>
      <c r="BK41" s="432"/>
      <c r="BL41" s="432"/>
      <c r="BM41" s="432"/>
      <c r="BN41" s="432"/>
      <c r="BO41" s="432"/>
      <c r="BP41" s="432"/>
      <c r="BQ41" s="432"/>
      <c r="BR41" s="432"/>
      <c r="BS41" s="432"/>
      <c r="BT41" s="432"/>
      <c r="BU41" s="432"/>
      <c r="BV41" s="432"/>
      <c r="BW41" s="432"/>
      <c r="BX41" s="432"/>
      <c r="BY41" s="432"/>
      <c r="BZ41" s="432"/>
      <c r="CA41" s="432"/>
      <c r="CB41" s="432"/>
      <c r="CC41" s="432"/>
      <c r="CD41" s="432"/>
      <c r="CE41" s="432"/>
      <c r="CF41" s="432"/>
      <c r="CG41" s="432"/>
      <c r="CH41" s="432"/>
      <c r="CI41" s="432"/>
      <c r="CJ41" s="432"/>
      <c r="CK41" s="432"/>
      <c r="CL41" s="432"/>
      <c r="CM41" s="432"/>
      <c r="CN41" s="432"/>
      <c r="CO41" s="432"/>
      <c r="CP41" s="432"/>
      <c r="CQ41" s="432"/>
      <c r="CR41" s="432"/>
      <c r="CS41" s="432"/>
      <c r="CT41" s="432"/>
      <c r="CU41" s="432"/>
      <c r="CV41" s="432"/>
      <c r="CW41" s="432"/>
      <c r="CX41" s="432"/>
      <c r="CY41" s="432"/>
      <c r="CZ41" s="432"/>
      <c r="DA41" s="432"/>
      <c r="DB41" s="285"/>
      <c r="DC41" s="285"/>
      <c r="DD41" s="285"/>
      <c r="DE41" s="285"/>
      <c r="DF41" s="285"/>
      <c r="DG41" s="285"/>
      <c r="DH41" s="285"/>
      <c r="DI41" s="285"/>
      <c r="DJ41" s="285"/>
      <c r="DK41" s="285"/>
      <c r="DL41" s="285"/>
      <c r="DM41" s="285"/>
      <c r="DN41" s="285"/>
      <c r="DO41" s="285"/>
      <c r="DP41" s="285"/>
    </row>
    <row r="42" spans="1:120" ht="2.25" customHeight="1">
      <c r="A42" s="280"/>
      <c r="B42" s="280"/>
      <c r="C42" s="278"/>
      <c r="D42" s="288"/>
      <c r="E42" s="831" t="str">
        <f>D9&amp;" (W3, 2)"</f>
        <v>Losses during transport by ISIC 36 (W3, 2)</v>
      </c>
      <c r="F42" s="843"/>
      <c r="G42" s="843"/>
      <c r="H42" s="844"/>
      <c r="I42" s="291"/>
      <c r="J42" s="291"/>
      <c r="K42" s="291"/>
      <c r="L42" s="291"/>
      <c r="M42" s="291"/>
      <c r="N42" s="291"/>
      <c r="O42" s="291"/>
      <c r="P42" s="291"/>
      <c r="Q42" s="291"/>
      <c r="R42" s="291"/>
      <c r="S42" s="291"/>
      <c r="T42" s="291"/>
      <c r="U42" s="291"/>
      <c r="V42" s="291"/>
      <c r="W42" s="291"/>
      <c r="X42" s="462"/>
      <c r="Y42" s="289"/>
      <c r="Z42" s="289"/>
      <c r="AA42" s="623"/>
      <c r="AB42" s="623"/>
      <c r="AC42" s="623"/>
      <c r="AD42" s="623"/>
      <c r="AE42" s="623"/>
      <c r="AF42" s="291"/>
      <c r="AG42" s="288"/>
      <c r="AH42" s="288"/>
      <c r="AI42" s="288"/>
      <c r="AJ42" s="288"/>
      <c r="AK42" s="288"/>
      <c r="AL42" s="556"/>
      <c r="AM42" s="556"/>
      <c r="AN42" s="556"/>
      <c r="AO42" s="556"/>
      <c r="AP42" s="556"/>
      <c r="AQ42" s="556"/>
      <c r="AR42" s="556"/>
      <c r="AS42" s="556"/>
      <c r="AT42" s="556"/>
      <c r="AU42" s="556"/>
      <c r="AV42" s="465"/>
      <c r="AW42" s="465"/>
      <c r="AX42" s="465"/>
      <c r="AY42" s="465"/>
      <c r="AZ42" s="288"/>
      <c r="BA42" s="466"/>
      <c r="BB42" s="288"/>
      <c r="BC42" s="463"/>
      <c r="BD42" s="96"/>
      <c r="BE42" s="469"/>
      <c r="BF42" s="96"/>
      <c r="BG42" s="96"/>
      <c r="BH42" s="96"/>
      <c r="BI42" s="114"/>
      <c r="BJ42" s="114"/>
      <c r="BK42" s="114"/>
      <c r="BL42" s="114"/>
      <c r="BM42" s="114"/>
      <c r="BN42" s="114"/>
      <c r="BO42" s="114"/>
      <c r="BP42" s="114"/>
      <c r="BQ42" s="114"/>
      <c r="BR42" s="114"/>
      <c r="BS42" s="114"/>
      <c r="BT42" s="114"/>
      <c r="BU42" s="114"/>
      <c r="BV42" s="114"/>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285"/>
      <c r="DC42" s="285"/>
      <c r="DD42" s="285"/>
      <c r="DE42" s="285"/>
      <c r="DF42" s="285"/>
      <c r="DG42" s="285"/>
      <c r="DH42" s="285"/>
      <c r="DI42" s="285"/>
      <c r="DJ42" s="285"/>
      <c r="DK42" s="285"/>
      <c r="DL42" s="285"/>
      <c r="DM42" s="285"/>
      <c r="DN42" s="285"/>
      <c r="DO42" s="285"/>
      <c r="DP42" s="285"/>
    </row>
    <row r="43" spans="1:120" ht="29.25" customHeight="1">
      <c r="A43" s="280"/>
      <c r="B43" s="280"/>
      <c r="C43" s="278"/>
      <c r="D43" s="288"/>
      <c r="E43" s="819"/>
      <c r="F43" s="820"/>
      <c r="G43" s="820"/>
      <c r="H43" s="821"/>
      <c r="I43" s="291"/>
      <c r="J43" s="291"/>
      <c r="K43" s="291"/>
      <c r="L43" s="291"/>
      <c r="M43" s="291"/>
      <c r="N43" s="291"/>
      <c r="O43" s="291"/>
      <c r="P43" s="291"/>
      <c r="Q43" s="291"/>
      <c r="R43" s="291"/>
      <c r="S43" s="291"/>
      <c r="T43" s="291"/>
      <c r="U43" s="840" t="str">
        <f>D19&amp;" (W3,11)"</f>
        <v>Other economic activities (W3,11)</v>
      </c>
      <c r="V43" s="841"/>
      <c r="W43" s="841"/>
      <c r="X43" s="841"/>
      <c r="Y43" s="841"/>
      <c r="Z43" s="841"/>
      <c r="AA43" s="841"/>
      <c r="AB43" s="842"/>
      <c r="AC43" s="623"/>
      <c r="AD43" s="623"/>
      <c r="AE43" s="623"/>
      <c r="AF43" s="291"/>
      <c r="AG43" s="288"/>
      <c r="AH43" s="288"/>
      <c r="AI43" s="288"/>
      <c r="AJ43" s="288"/>
      <c r="AK43" s="288"/>
      <c r="AL43" s="289"/>
      <c r="AM43" s="289"/>
      <c r="AN43" s="289"/>
      <c r="AO43" s="289"/>
      <c r="AP43" s="289"/>
      <c r="AQ43" s="289"/>
      <c r="AR43" s="289"/>
      <c r="AS43" s="289"/>
      <c r="AT43" s="289"/>
      <c r="AU43" s="289"/>
      <c r="AV43" s="289"/>
      <c r="AW43" s="289"/>
      <c r="AX43" s="289"/>
      <c r="AY43" s="289"/>
      <c r="AZ43" s="461"/>
      <c r="BA43" s="462"/>
      <c r="BB43" s="288"/>
      <c r="BC43" s="463"/>
      <c r="BD43" s="317" t="s">
        <v>61</v>
      </c>
      <c r="BE43" s="316" t="s">
        <v>13</v>
      </c>
      <c r="BF43" s="96"/>
      <c r="BG43" s="96"/>
      <c r="BH43" s="96"/>
      <c r="BI43" s="114"/>
      <c r="BJ43" s="114"/>
      <c r="BK43" s="114"/>
      <c r="BL43" s="114"/>
      <c r="BM43" s="114"/>
      <c r="BN43" s="114"/>
      <c r="BO43" s="114"/>
      <c r="BP43" s="114"/>
      <c r="BQ43" s="114"/>
      <c r="BR43" s="114"/>
      <c r="BS43" s="114"/>
      <c r="BT43" s="114"/>
      <c r="BU43" s="114"/>
      <c r="BV43" s="114"/>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285"/>
      <c r="DC43" s="285"/>
      <c r="DD43" s="285"/>
      <c r="DE43" s="285"/>
      <c r="DF43" s="285"/>
      <c r="DG43" s="285"/>
      <c r="DH43" s="285"/>
      <c r="DI43" s="285"/>
      <c r="DJ43" s="285"/>
      <c r="DK43" s="285"/>
      <c r="DL43" s="285"/>
      <c r="DM43" s="285"/>
      <c r="DN43" s="285"/>
      <c r="DO43" s="285"/>
      <c r="DP43" s="285"/>
    </row>
    <row r="44" spans="1:105" s="202" customFormat="1" ht="6" customHeight="1">
      <c r="A44" s="180"/>
      <c r="B44" s="181"/>
      <c r="C44" s="396"/>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c r="AN44" s="470"/>
      <c r="AO44" s="470"/>
      <c r="AP44" s="470"/>
      <c r="AQ44" s="470"/>
      <c r="AR44" s="470"/>
      <c r="AS44" s="470"/>
      <c r="AT44" s="470"/>
      <c r="AU44" s="470"/>
      <c r="AV44" s="470"/>
      <c r="AW44" s="470"/>
      <c r="AX44" s="470"/>
      <c r="AY44" s="470"/>
      <c r="AZ44" s="470"/>
      <c r="BA44" s="470"/>
      <c r="BB44" s="470"/>
      <c r="BC44" s="471"/>
      <c r="BD44" s="191"/>
      <c r="BE44" s="191"/>
      <c r="BF44" s="191"/>
      <c r="BG44" s="191"/>
      <c r="BH44" s="191"/>
      <c r="BI44" s="191"/>
      <c r="BJ44" s="191"/>
      <c r="BK44" s="191"/>
      <c r="BL44" s="191"/>
      <c r="BM44" s="191"/>
      <c r="BN44" s="191"/>
      <c r="BO44" s="191"/>
      <c r="BP44" s="191"/>
      <c r="BQ44" s="191"/>
      <c r="BR44" s="191"/>
      <c r="BS44" s="191"/>
      <c r="BT44" s="191"/>
      <c r="BU44" s="191"/>
      <c r="BV44" s="191"/>
      <c r="BW44" s="191"/>
      <c r="BX44" s="191"/>
      <c r="BY44" s="191"/>
      <c r="BZ44" s="191"/>
      <c r="CA44" s="191"/>
      <c r="CB44" s="191"/>
      <c r="CC44" s="191"/>
      <c r="CD44" s="191"/>
      <c r="CE44" s="191"/>
      <c r="CF44" s="191"/>
      <c r="CG44" s="191"/>
      <c r="CH44" s="191"/>
      <c r="CI44" s="191"/>
      <c r="CJ44" s="191"/>
      <c r="CK44" s="191"/>
      <c r="CL44" s="191"/>
      <c r="CM44" s="191"/>
      <c r="CN44" s="191"/>
      <c r="CO44" s="191"/>
      <c r="CP44" s="191"/>
      <c r="CQ44" s="191"/>
      <c r="CR44" s="191"/>
      <c r="CS44" s="191"/>
      <c r="CT44" s="191"/>
      <c r="CU44" s="191"/>
      <c r="CV44" s="191"/>
      <c r="CW44" s="191"/>
      <c r="CX44" s="191"/>
      <c r="CY44" s="191"/>
      <c r="CZ44" s="191"/>
      <c r="DA44" s="191"/>
    </row>
    <row r="45" spans="1:105" s="431" customFormat="1" ht="15.75">
      <c r="A45" s="430"/>
      <c r="B45" s="417">
        <v>1</v>
      </c>
      <c r="C45" s="301" t="s">
        <v>312</v>
      </c>
      <c r="D45" s="397"/>
      <c r="E45" s="301"/>
      <c r="F45" s="213"/>
      <c r="G45" s="213"/>
      <c r="H45" s="304"/>
      <c r="I45" s="305"/>
      <c r="J45" s="306"/>
      <c r="K45" s="305"/>
      <c r="L45" s="306"/>
      <c r="M45" s="305"/>
      <c r="N45" s="306"/>
      <c r="O45" s="305"/>
      <c r="P45" s="306"/>
      <c r="Q45" s="305"/>
      <c r="R45" s="306"/>
      <c r="S45" s="305"/>
      <c r="T45" s="306"/>
      <c r="U45" s="305"/>
      <c r="V45" s="306"/>
      <c r="W45" s="305"/>
      <c r="X45" s="304"/>
      <c r="Y45" s="305"/>
      <c r="Z45" s="304"/>
      <c r="AA45" s="305"/>
      <c r="AB45" s="304"/>
      <c r="AC45" s="305"/>
      <c r="AD45" s="304"/>
      <c r="AE45" s="305"/>
      <c r="AF45" s="304"/>
      <c r="AG45" s="398"/>
      <c r="AH45" s="304"/>
      <c r="AI45" s="305"/>
      <c r="AJ45" s="306"/>
      <c r="AK45" s="305"/>
      <c r="AL45" s="304"/>
      <c r="AM45" s="305"/>
      <c r="AN45" s="304"/>
      <c r="AO45" s="305"/>
      <c r="AP45" s="305"/>
      <c r="AQ45" s="305"/>
      <c r="AR45" s="305"/>
      <c r="AS45" s="305"/>
      <c r="AT45" s="356"/>
      <c r="AU45" s="355"/>
      <c r="AV45" s="305"/>
      <c r="AW45" s="305"/>
      <c r="AX45" s="356"/>
      <c r="AY45" s="355"/>
      <c r="AZ45" s="356"/>
      <c r="BA45" s="355"/>
      <c r="BB45" s="437"/>
      <c r="BC45" s="215"/>
      <c r="BD45" s="472"/>
      <c r="BE45" s="472"/>
      <c r="BF45" s="191"/>
      <c r="BG45" s="191"/>
      <c r="BH45" s="191"/>
      <c r="BI45" s="191"/>
      <c r="BJ45" s="191"/>
      <c r="BK45" s="191"/>
      <c r="BL45" s="191"/>
      <c r="BM45" s="191"/>
      <c r="BN45" s="191"/>
      <c r="BO45" s="191"/>
      <c r="BP45" s="191"/>
      <c r="BQ45" s="191"/>
      <c r="BR45" s="191"/>
      <c r="BS45" s="191"/>
      <c r="BT45" s="191"/>
      <c r="BU45" s="191"/>
      <c r="BV45" s="191"/>
      <c r="BW45" s="191"/>
      <c r="BX45" s="191"/>
      <c r="BY45" s="191"/>
      <c r="BZ45" s="191"/>
      <c r="CA45" s="191"/>
      <c r="CB45" s="191"/>
      <c r="CC45" s="191"/>
      <c r="CD45" s="191"/>
      <c r="CE45" s="191"/>
      <c r="CF45" s="191"/>
      <c r="CG45" s="191"/>
      <c r="CH45" s="191"/>
      <c r="CI45" s="191"/>
      <c r="CJ45" s="191"/>
      <c r="CK45" s="191"/>
      <c r="CL45" s="191"/>
      <c r="CM45" s="191"/>
      <c r="CN45" s="191"/>
      <c r="CO45" s="191"/>
      <c r="CP45" s="191"/>
      <c r="CQ45" s="191"/>
      <c r="CR45" s="191"/>
      <c r="CS45" s="191"/>
      <c r="CT45" s="191"/>
      <c r="CU45" s="191"/>
      <c r="CV45" s="191"/>
      <c r="CW45" s="191"/>
      <c r="CX45" s="191"/>
      <c r="CY45" s="191"/>
      <c r="CZ45" s="191"/>
      <c r="DA45" s="191"/>
    </row>
    <row r="46" spans="3:56" ht="2.25" customHeight="1">
      <c r="C46" s="399"/>
      <c r="D46" s="399"/>
      <c r="E46" s="400"/>
      <c r="F46" s="342"/>
      <c r="G46" s="342"/>
      <c r="H46" s="338"/>
      <c r="I46" s="339"/>
      <c r="J46" s="340"/>
      <c r="K46" s="339"/>
      <c r="L46" s="340"/>
      <c r="M46" s="339"/>
      <c r="N46" s="340"/>
      <c r="O46" s="339"/>
      <c r="P46" s="340"/>
      <c r="Q46" s="339"/>
      <c r="R46" s="340"/>
      <c r="S46" s="339"/>
      <c r="T46" s="340"/>
      <c r="U46" s="339"/>
      <c r="V46" s="340"/>
      <c r="W46" s="339"/>
      <c r="X46" s="338"/>
      <c r="Y46" s="339"/>
      <c r="Z46" s="338"/>
      <c r="AA46" s="339"/>
      <c r="AB46" s="338"/>
      <c r="AC46" s="339"/>
      <c r="AD46" s="338"/>
      <c r="AE46" s="339"/>
      <c r="AF46" s="338"/>
      <c r="AG46" s="401"/>
      <c r="AH46" s="338"/>
      <c r="AI46" s="339"/>
      <c r="AJ46" s="340"/>
      <c r="AK46" s="339"/>
      <c r="AL46" s="338"/>
      <c r="AM46" s="341"/>
      <c r="AN46" s="336"/>
      <c r="AO46" s="341"/>
      <c r="AP46" s="341"/>
      <c r="AQ46" s="341"/>
      <c r="AR46" s="341"/>
      <c r="AS46" s="341"/>
      <c r="AV46" s="341"/>
      <c r="AW46" s="341"/>
      <c r="BD46" s="473"/>
    </row>
    <row r="47" spans="3:56" ht="18" customHeight="1">
      <c r="C47" s="312" t="s">
        <v>307</v>
      </c>
      <c r="D47" s="474" t="s">
        <v>310</v>
      </c>
      <c r="E47" s="402"/>
      <c r="F47" s="403"/>
      <c r="G47" s="403"/>
      <c r="H47" s="404"/>
      <c r="I47" s="405"/>
      <c r="J47" s="406"/>
      <c r="K47" s="405"/>
      <c r="L47" s="406"/>
      <c r="M47" s="405"/>
      <c r="N47" s="406"/>
      <c r="O47" s="405"/>
      <c r="P47" s="406"/>
      <c r="Q47" s="405"/>
      <c r="R47" s="406"/>
      <c r="S47" s="405"/>
      <c r="T47" s="406"/>
      <c r="U47" s="405"/>
      <c r="V47" s="406"/>
      <c r="W47" s="405"/>
      <c r="X47" s="404"/>
      <c r="Y47" s="405"/>
      <c r="Z47" s="404"/>
      <c r="AA47" s="405"/>
      <c r="AB47" s="404"/>
      <c r="AC47" s="405"/>
      <c r="AD47" s="404"/>
      <c r="AE47" s="405"/>
      <c r="AF47" s="404"/>
      <c r="AG47" s="407"/>
      <c r="AH47" s="404"/>
      <c r="AI47" s="405"/>
      <c r="AJ47" s="406"/>
      <c r="AK47" s="405"/>
      <c r="AL47" s="404"/>
      <c r="AM47" s="405"/>
      <c r="AN47" s="404"/>
      <c r="AO47" s="405"/>
      <c r="AP47" s="405"/>
      <c r="AQ47" s="405"/>
      <c r="AR47" s="405"/>
      <c r="AS47" s="405"/>
      <c r="AT47" s="404"/>
      <c r="AU47" s="405"/>
      <c r="AV47" s="405"/>
      <c r="AW47" s="405"/>
      <c r="AX47" s="404"/>
      <c r="AY47" s="405"/>
      <c r="AZ47" s="404"/>
      <c r="BA47" s="405"/>
      <c r="BB47" s="475"/>
      <c r="BC47" s="432"/>
      <c r="BD47" s="473"/>
    </row>
    <row r="48" spans="3:56" ht="18" customHeight="1">
      <c r="C48" s="542"/>
      <c r="D48" s="778"/>
      <c r="E48" s="779"/>
      <c r="F48" s="779"/>
      <c r="G48" s="779"/>
      <c r="H48" s="779"/>
      <c r="I48" s="779"/>
      <c r="J48" s="779"/>
      <c r="K48" s="779"/>
      <c r="L48" s="779"/>
      <c r="M48" s="779"/>
      <c r="N48" s="779"/>
      <c r="O48" s="779"/>
      <c r="P48" s="779"/>
      <c r="Q48" s="779"/>
      <c r="R48" s="779"/>
      <c r="S48" s="779"/>
      <c r="T48" s="779"/>
      <c r="U48" s="779"/>
      <c r="V48" s="779"/>
      <c r="W48" s="779"/>
      <c r="X48" s="779"/>
      <c r="Y48" s="779"/>
      <c r="Z48" s="779"/>
      <c r="AA48" s="779"/>
      <c r="AB48" s="779"/>
      <c r="AC48" s="779"/>
      <c r="AD48" s="779"/>
      <c r="AE48" s="779"/>
      <c r="AF48" s="779"/>
      <c r="AG48" s="779"/>
      <c r="AH48" s="779"/>
      <c r="AI48" s="779"/>
      <c r="AJ48" s="779"/>
      <c r="AK48" s="779"/>
      <c r="AL48" s="779"/>
      <c r="AM48" s="779"/>
      <c r="AN48" s="779"/>
      <c r="AO48" s="779"/>
      <c r="AP48" s="779"/>
      <c r="AQ48" s="779"/>
      <c r="AR48" s="779"/>
      <c r="AS48" s="779"/>
      <c r="AT48" s="779"/>
      <c r="AU48" s="779"/>
      <c r="AV48" s="779"/>
      <c r="AW48" s="779"/>
      <c r="AX48" s="779"/>
      <c r="AY48" s="779"/>
      <c r="AZ48" s="779"/>
      <c r="BA48" s="779"/>
      <c r="BB48" s="780"/>
      <c r="BC48" s="476"/>
      <c r="BD48" s="473"/>
    </row>
    <row r="49" spans="3:56" ht="18" customHeight="1">
      <c r="C49" s="542"/>
      <c r="D49" s="755"/>
      <c r="E49" s="756"/>
      <c r="F49" s="756"/>
      <c r="G49" s="756"/>
      <c r="H49" s="756"/>
      <c r="I49" s="756"/>
      <c r="J49" s="756"/>
      <c r="K49" s="756"/>
      <c r="L49" s="756"/>
      <c r="M49" s="756"/>
      <c r="N49" s="756"/>
      <c r="O49" s="756"/>
      <c r="P49" s="756"/>
      <c r="Q49" s="756"/>
      <c r="R49" s="756"/>
      <c r="S49" s="756"/>
      <c r="T49" s="756"/>
      <c r="U49" s="756"/>
      <c r="V49" s="756"/>
      <c r="W49" s="756"/>
      <c r="X49" s="756"/>
      <c r="Y49" s="756"/>
      <c r="Z49" s="756"/>
      <c r="AA49" s="756"/>
      <c r="AB49" s="756"/>
      <c r="AC49" s="756"/>
      <c r="AD49" s="756"/>
      <c r="AE49" s="756"/>
      <c r="AF49" s="756"/>
      <c r="AG49" s="756"/>
      <c r="AH49" s="756"/>
      <c r="AI49" s="756"/>
      <c r="AJ49" s="756"/>
      <c r="AK49" s="756"/>
      <c r="AL49" s="756"/>
      <c r="AM49" s="756"/>
      <c r="AN49" s="756"/>
      <c r="AO49" s="756"/>
      <c r="AP49" s="756"/>
      <c r="AQ49" s="756"/>
      <c r="AR49" s="756"/>
      <c r="AS49" s="756"/>
      <c r="AT49" s="756"/>
      <c r="AU49" s="756"/>
      <c r="AV49" s="756"/>
      <c r="AW49" s="756"/>
      <c r="AX49" s="756"/>
      <c r="AY49" s="756"/>
      <c r="AZ49" s="756"/>
      <c r="BA49" s="756"/>
      <c r="BB49" s="757"/>
      <c r="BC49" s="476"/>
      <c r="BD49" s="473"/>
    </row>
    <row r="50" spans="3:56" ht="18" customHeight="1">
      <c r="C50" s="542"/>
      <c r="D50" s="755"/>
      <c r="E50" s="756"/>
      <c r="F50" s="756"/>
      <c r="G50" s="756"/>
      <c r="H50" s="756"/>
      <c r="I50" s="756"/>
      <c r="J50" s="756"/>
      <c r="K50" s="756"/>
      <c r="L50" s="756"/>
      <c r="M50" s="756"/>
      <c r="N50" s="756"/>
      <c r="O50" s="756"/>
      <c r="P50" s="756"/>
      <c r="Q50" s="756"/>
      <c r="R50" s="756"/>
      <c r="S50" s="756"/>
      <c r="T50" s="756"/>
      <c r="U50" s="756"/>
      <c r="V50" s="756"/>
      <c r="W50" s="756"/>
      <c r="X50" s="756"/>
      <c r="Y50" s="756"/>
      <c r="Z50" s="756"/>
      <c r="AA50" s="756"/>
      <c r="AB50" s="756"/>
      <c r="AC50" s="756"/>
      <c r="AD50" s="756"/>
      <c r="AE50" s="756"/>
      <c r="AF50" s="756"/>
      <c r="AG50" s="756"/>
      <c r="AH50" s="756"/>
      <c r="AI50" s="756"/>
      <c r="AJ50" s="756"/>
      <c r="AK50" s="756"/>
      <c r="AL50" s="756"/>
      <c r="AM50" s="756"/>
      <c r="AN50" s="756"/>
      <c r="AO50" s="756"/>
      <c r="AP50" s="756"/>
      <c r="AQ50" s="756"/>
      <c r="AR50" s="756"/>
      <c r="AS50" s="756"/>
      <c r="AT50" s="756"/>
      <c r="AU50" s="756"/>
      <c r="AV50" s="756"/>
      <c r="AW50" s="756"/>
      <c r="AX50" s="756"/>
      <c r="AY50" s="756"/>
      <c r="AZ50" s="756"/>
      <c r="BA50" s="756"/>
      <c r="BB50" s="757"/>
      <c r="BC50" s="476"/>
      <c r="BD50" s="473"/>
    </row>
    <row r="51" spans="3:56" ht="18" customHeight="1">
      <c r="C51" s="542"/>
      <c r="D51" s="755"/>
      <c r="E51" s="756"/>
      <c r="F51" s="756"/>
      <c r="G51" s="756"/>
      <c r="H51" s="756"/>
      <c r="I51" s="756"/>
      <c r="J51" s="756"/>
      <c r="K51" s="756"/>
      <c r="L51" s="756"/>
      <c r="M51" s="756"/>
      <c r="N51" s="756"/>
      <c r="O51" s="756"/>
      <c r="P51" s="756"/>
      <c r="Q51" s="756"/>
      <c r="R51" s="756"/>
      <c r="S51" s="756"/>
      <c r="T51" s="756"/>
      <c r="U51" s="756"/>
      <c r="V51" s="756"/>
      <c r="W51" s="756"/>
      <c r="X51" s="75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6"/>
      <c r="AY51" s="756"/>
      <c r="AZ51" s="756"/>
      <c r="BA51" s="756"/>
      <c r="BB51" s="757"/>
      <c r="BC51" s="476"/>
      <c r="BD51" s="473"/>
    </row>
    <row r="52" spans="3:56" ht="18" customHeight="1">
      <c r="C52" s="542"/>
      <c r="D52" s="755"/>
      <c r="E52" s="756"/>
      <c r="F52" s="756"/>
      <c r="G52" s="756"/>
      <c r="H52" s="756"/>
      <c r="I52" s="756"/>
      <c r="J52" s="756"/>
      <c r="K52" s="756"/>
      <c r="L52" s="756"/>
      <c r="M52" s="756"/>
      <c r="N52" s="756"/>
      <c r="O52" s="756"/>
      <c r="P52" s="756"/>
      <c r="Q52" s="756"/>
      <c r="R52" s="756"/>
      <c r="S52" s="756"/>
      <c r="T52" s="756"/>
      <c r="U52" s="756"/>
      <c r="V52" s="756"/>
      <c r="W52" s="756"/>
      <c r="X52" s="756"/>
      <c r="Y52" s="756"/>
      <c r="Z52" s="756"/>
      <c r="AA52" s="756"/>
      <c r="AB52" s="756"/>
      <c r="AC52" s="756"/>
      <c r="AD52" s="756"/>
      <c r="AE52" s="756"/>
      <c r="AF52" s="756"/>
      <c r="AG52" s="756"/>
      <c r="AH52" s="756"/>
      <c r="AI52" s="756"/>
      <c r="AJ52" s="756"/>
      <c r="AK52" s="756"/>
      <c r="AL52" s="756"/>
      <c r="AM52" s="756"/>
      <c r="AN52" s="756"/>
      <c r="AO52" s="756"/>
      <c r="AP52" s="756"/>
      <c r="AQ52" s="756"/>
      <c r="AR52" s="756"/>
      <c r="AS52" s="756"/>
      <c r="AT52" s="756"/>
      <c r="AU52" s="756"/>
      <c r="AV52" s="756"/>
      <c r="AW52" s="756"/>
      <c r="AX52" s="756"/>
      <c r="AY52" s="756"/>
      <c r="AZ52" s="756"/>
      <c r="BA52" s="756"/>
      <c r="BB52" s="757"/>
      <c r="BC52" s="476"/>
      <c r="BD52" s="473"/>
    </row>
    <row r="53" spans="3:56" ht="18" customHeight="1">
      <c r="C53" s="542"/>
      <c r="D53" s="755"/>
      <c r="E53" s="756"/>
      <c r="F53" s="756"/>
      <c r="G53" s="756"/>
      <c r="H53" s="756"/>
      <c r="I53" s="756"/>
      <c r="J53" s="756"/>
      <c r="K53" s="756"/>
      <c r="L53" s="756"/>
      <c r="M53" s="756"/>
      <c r="N53" s="756"/>
      <c r="O53" s="756"/>
      <c r="P53" s="756"/>
      <c r="Q53" s="756"/>
      <c r="R53" s="756"/>
      <c r="S53" s="756"/>
      <c r="T53" s="756"/>
      <c r="U53" s="756"/>
      <c r="V53" s="756"/>
      <c r="W53" s="756"/>
      <c r="X53" s="756"/>
      <c r="Y53" s="756"/>
      <c r="Z53" s="756"/>
      <c r="AA53" s="756"/>
      <c r="AB53" s="756"/>
      <c r="AC53" s="756"/>
      <c r="AD53" s="756"/>
      <c r="AE53" s="756"/>
      <c r="AF53" s="756"/>
      <c r="AG53" s="756"/>
      <c r="AH53" s="756"/>
      <c r="AI53" s="756"/>
      <c r="AJ53" s="756"/>
      <c r="AK53" s="756"/>
      <c r="AL53" s="756"/>
      <c r="AM53" s="756"/>
      <c r="AN53" s="756"/>
      <c r="AO53" s="756"/>
      <c r="AP53" s="756"/>
      <c r="AQ53" s="756"/>
      <c r="AR53" s="756"/>
      <c r="AS53" s="756"/>
      <c r="AT53" s="756"/>
      <c r="AU53" s="756"/>
      <c r="AV53" s="756"/>
      <c r="AW53" s="756"/>
      <c r="AX53" s="756"/>
      <c r="AY53" s="756"/>
      <c r="AZ53" s="756"/>
      <c r="BA53" s="756"/>
      <c r="BB53" s="757"/>
      <c r="BC53" s="476"/>
      <c r="BD53" s="473"/>
    </row>
    <row r="54" spans="3:56" ht="18" customHeight="1">
      <c r="C54" s="542"/>
      <c r="D54" s="755"/>
      <c r="E54" s="756"/>
      <c r="F54" s="756"/>
      <c r="G54" s="756"/>
      <c r="H54" s="756"/>
      <c r="I54" s="756"/>
      <c r="J54" s="756"/>
      <c r="K54" s="756"/>
      <c r="L54" s="756"/>
      <c r="M54" s="756"/>
      <c r="N54" s="756"/>
      <c r="O54" s="756"/>
      <c r="P54" s="756"/>
      <c r="Q54" s="756"/>
      <c r="R54" s="756"/>
      <c r="S54" s="756"/>
      <c r="T54" s="756"/>
      <c r="U54" s="756"/>
      <c r="V54" s="756"/>
      <c r="W54" s="756"/>
      <c r="X54" s="756"/>
      <c r="Y54" s="756"/>
      <c r="Z54" s="756"/>
      <c r="AA54" s="756"/>
      <c r="AB54" s="756"/>
      <c r="AC54" s="756"/>
      <c r="AD54" s="756"/>
      <c r="AE54" s="756"/>
      <c r="AF54" s="756"/>
      <c r="AG54" s="756"/>
      <c r="AH54" s="756"/>
      <c r="AI54" s="756"/>
      <c r="AJ54" s="756"/>
      <c r="AK54" s="756"/>
      <c r="AL54" s="756"/>
      <c r="AM54" s="756"/>
      <c r="AN54" s="756"/>
      <c r="AO54" s="756"/>
      <c r="AP54" s="756"/>
      <c r="AQ54" s="756"/>
      <c r="AR54" s="756"/>
      <c r="AS54" s="756"/>
      <c r="AT54" s="756"/>
      <c r="AU54" s="756"/>
      <c r="AV54" s="756"/>
      <c r="AW54" s="756"/>
      <c r="AX54" s="756"/>
      <c r="AY54" s="756"/>
      <c r="AZ54" s="756"/>
      <c r="BA54" s="756"/>
      <c r="BB54" s="757"/>
      <c r="BC54" s="476"/>
      <c r="BD54" s="473"/>
    </row>
    <row r="55" spans="3:56" ht="18" customHeight="1">
      <c r="C55" s="542"/>
      <c r="D55" s="755"/>
      <c r="E55" s="756"/>
      <c r="F55" s="756"/>
      <c r="G55" s="756"/>
      <c r="H55" s="756"/>
      <c r="I55" s="756"/>
      <c r="J55" s="756"/>
      <c r="K55" s="756"/>
      <c r="L55" s="756"/>
      <c r="M55" s="756"/>
      <c r="N55" s="756"/>
      <c r="O55" s="756"/>
      <c r="P55" s="756"/>
      <c r="Q55" s="756"/>
      <c r="R55" s="756"/>
      <c r="S55" s="756"/>
      <c r="T55" s="756"/>
      <c r="U55" s="756"/>
      <c r="V55" s="756"/>
      <c r="W55" s="756"/>
      <c r="X55" s="756"/>
      <c r="Y55" s="756"/>
      <c r="Z55" s="756"/>
      <c r="AA55" s="756"/>
      <c r="AB55" s="756"/>
      <c r="AC55" s="756"/>
      <c r="AD55" s="756"/>
      <c r="AE55" s="756"/>
      <c r="AF55" s="756"/>
      <c r="AG55" s="756"/>
      <c r="AH55" s="756"/>
      <c r="AI55" s="756"/>
      <c r="AJ55" s="756"/>
      <c r="AK55" s="756"/>
      <c r="AL55" s="756"/>
      <c r="AM55" s="756"/>
      <c r="AN55" s="756"/>
      <c r="AO55" s="756"/>
      <c r="AP55" s="756"/>
      <c r="AQ55" s="756"/>
      <c r="AR55" s="756"/>
      <c r="AS55" s="756"/>
      <c r="AT55" s="756"/>
      <c r="AU55" s="756"/>
      <c r="AV55" s="756"/>
      <c r="AW55" s="756"/>
      <c r="AX55" s="756"/>
      <c r="AY55" s="756"/>
      <c r="AZ55" s="756"/>
      <c r="BA55" s="756"/>
      <c r="BB55" s="757"/>
      <c r="BC55" s="476"/>
      <c r="BD55" s="473"/>
    </row>
    <row r="56" spans="3:105" ht="18" customHeight="1">
      <c r="C56" s="542"/>
      <c r="D56" s="755"/>
      <c r="E56" s="756"/>
      <c r="F56" s="756"/>
      <c r="G56" s="756"/>
      <c r="H56" s="756"/>
      <c r="I56" s="756"/>
      <c r="J56" s="756"/>
      <c r="K56" s="756"/>
      <c r="L56" s="756"/>
      <c r="M56" s="756"/>
      <c r="N56" s="756"/>
      <c r="O56" s="756"/>
      <c r="P56" s="756"/>
      <c r="Q56" s="756"/>
      <c r="R56" s="756"/>
      <c r="S56" s="756"/>
      <c r="T56" s="756"/>
      <c r="U56" s="756"/>
      <c r="V56" s="756"/>
      <c r="W56" s="756"/>
      <c r="X56" s="756"/>
      <c r="Y56" s="756"/>
      <c r="Z56" s="756"/>
      <c r="AA56" s="756"/>
      <c r="AB56" s="756"/>
      <c r="AC56" s="756"/>
      <c r="AD56" s="756"/>
      <c r="AE56" s="756"/>
      <c r="AF56" s="756"/>
      <c r="AG56" s="756"/>
      <c r="AH56" s="756"/>
      <c r="AI56" s="756"/>
      <c r="AJ56" s="756"/>
      <c r="AK56" s="756"/>
      <c r="AL56" s="756"/>
      <c r="AM56" s="756"/>
      <c r="AN56" s="756"/>
      <c r="AO56" s="756"/>
      <c r="AP56" s="756"/>
      <c r="AQ56" s="756"/>
      <c r="AR56" s="756"/>
      <c r="AS56" s="756"/>
      <c r="AT56" s="756"/>
      <c r="AU56" s="756"/>
      <c r="AV56" s="756"/>
      <c r="AW56" s="756"/>
      <c r="AX56" s="756"/>
      <c r="AY56" s="756"/>
      <c r="AZ56" s="756"/>
      <c r="BA56" s="756"/>
      <c r="BB56" s="757"/>
      <c r="BC56" s="476"/>
      <c r="BD56" s="432"/>
      <c r="BE56" s="432"/>
      <c r="BF56" s="432"/>
      <c r="BG56" s="432"/>
      <c r="BH56" s="432"/>
      <c r="BI56" s="432"/>
      <c r="BJ56" s="432"/>
      <c r="BK56" s="432"/>
      <c r="BL56" s="432"/>
      <c r="BM56" s="432"/>
      <c r="BN56" s="432"/>
      <c r="BO56" s="432"/>
      <c r="BP56" s="432"/>
      <c r="BQ56" s="432"/>
      <c r="BR56" s="432"/>
      <c r="BS56" s="432"/>
      <c r="BT56" s="432"/>
      <c r="BU56" s="432"/>
      <c r="BV56" s="432"/>
      <c r="BW56" s="432"/>
      <c r="BX56" s="432"/>
      <c r="BY56" s="432"/>
      <c r="BZ56" s="432"/>
      <c r="CA56" s="432"/>
      <c r="CB56" s="432"/>
      <c r="CC56" s="432"/>
      <c r="CD56" s="432"/>
      <c r="CE56" s="432"/>
      <c r="CF56" s="432"/>
      <c r="CG56" s="432"/>
      <c r="CH56" s="432"/>
      <c r="CI56" s="432"/>
      <c r="CJ56" s="432"/>
      <c r="CK56" s="432"/>
      <c r="CL56" s="432"/>
      <c r="CM56" s="432"/>
      <c r="CN56" s="432"/>
      <c r="CO56" s="432"/>
      <c r="CP56" s="432"/>
      <c r="CQ56" s="432"/>
      <c r="CR56" s="432"/>
      <c r="CS56" s="432"/>
      <c r="CT56" s="432"/>
      <c r="CU56" s="432"/>
      <c r="CV56" s="432"/>
      <c r="CW56" s="432"/>
      <c r="CX56" s="432"/>
      <c r="CY56" s="432"/>
      <c r="CZ56" s="432"/>
      <c r="DA56" s="432"/>
    </row>
    <row r="57" spans="3:105" ht="18" customHeight="1">
      <c r="C57" s="542"/>
      <c r="D57" s="755"/>
      <c r="E57" s="756"/>
      <c r="F57" s="756"/>
      <c r="G57" s="756"/>
      <c r="H57" s="756"/>
      <c r="I57" s="756"/>
      <c r="J57" s="756"/>
      <c r="K57" s="756"/>
      <c r="L57" s="756"/>
      <c r="M57" s="756"/>
      <c r="N57" s="756"/>
      <c r="O57" s="756"/>
      <c r="P57" s="756"/>
      <c r="Q57" s="756"/>
      <c r="R57" s="756"/>
      <c r="S57" s="756"/>
      <c r="T57" s="756"/>
      <c r="U57" s="756"/>
      <c r="V57" s="756"/>
      <c r="W57" s="756"/>
      <c r="X57" s="756"/>
      <c r="Y57" s="756"/>
      <c r="Z57" s="756"/>
      <c r="AA57" s="756"/>
      <c r="AB57" s="756"/>
      <c r="AC57" s="756"/>
      <c r="AD57" s="756"/>
      <c r="AE57" s="756"/>
      <c r="AF57" s="756"/>
      <c r="AG57" s="756"/>
      <c r="AH57" s="756"/>
      <c r="AI57" s="756"/>
      <c r="AJ57" s="756"/>
      <c r="AK57" s="756"/>
      <c r="AL57" s="756"/>
      <c r="AM57" s="756"/>
      <c r="AN57" s="756"/>
      <c r="AO57" s="756"/>
      <c r="AP57" s="756"/>
      <c r="AQ57" s="756"/>
      <c r="AR57" s="756"/>
      <c r="AS57" s="756"/>
      <c r="AT57" s="756"/>
      <c r="AU57" s="756"/>
      <c r="AV57" s="756"/>
      <c r="AW57" s="756"/>
      <c r="AX57" s="756"/>
      <c r="AY57" s="756"/>
      <c r="AZ57" s="756"/>
      <c r="BA57" s="756"/>
      <c r="BB57" s="757"/>
      <c r="BC57" s="476"/>
      <c r="BD57" s="432"/>
      <c r="BE57" s="432"/>
      <c r="BF57" s="432"/>
      <c r="BG57" s="432"/>
      <c r="BH57" s="432"/>
      <c r="BI57" s="432"/>
      <c r="BJ57" s="432"/>
      <c r="BK57" s="432"/>
      <c r="BL57" s="432"/>
      <c r="BM57" s="432"/>
      <c r="BN57" s="432"/>
      <c r="BO57" s="432"/>
      <c r="BP57" s="432"/>
      <c r="BQ57" s="432"/>
      <c r="BR57" s="432"/>
      <c r="BS57" s="432"/>
      <c r="BT57" s="432"/>
      <c r="BU57" s="432"/>
      <c r="BV57" s="432"/>
      <c r="BW57" s="432"/>
      <c r="BX57" s="432"/>
      <c r="BY57" s="432"/>
      <c r="BZ57" s="432"/>
      <c r="CA57" s="432"/>
      <c r="CB57" s="432"/>
      <c r="CC57" s="432"/>
      <c r="CD57" s="432"/>
      <c r="CE57" s="432"/>
      <c r="CF57" s="432"/>
      <c r="CG57" s="432"/>
      <c r="CH57" s="432"/>
      <c r="CI57" s="432"/>
      <c r="CJ57" s="432"/>
      <c r="CK57" s="432"/>
      <c r="CL57" s="432"/>
      <c r="CM57" s="432"/>
      <c r="CN57" s="432"/>
      <c r="CO57" s="432"/>
      <c r="CP57" s="432"/>
      <c r="CQ57" s="432"/>
      <c r="CR57" s="432"/>
      <c r="CS57" s="432"/>
      <c r="CT57" s="432"/>
      <c r="CU57" s="432"/>
      <c r="CV57" s="432"/>
      <c r="CW57" s="432"/>
      <c r="CX57" s="432"/>
      <c r="CY57" s="432"/>
      <c r="CZ57" s="432"/>
      <c r="DA57" s="432"/>
    </row>
    <row r="58" spans="3:105" ht="18" customHeight="1">
      <c r="C58" s="542"/>
      <c r="D58" s="755"/>
      <c r="E58" s="756"/>
      <c r="F58" s="756"/>
      <c r="G58" s="756"/>
      <c r="H58" s="756"/>
      <c r="I58" s="756"/>
      <c r="J58" s="756"/>
      <c r="K58" s="756"/>
      <c r="L58" s="756"/>
      <c r="M58" s="756"/>
      <c r="N58" s="756"/>
      <c r="O58" s="756"/>
      <c r="P58" s="756"/>
      <c r="Q58" s="756"/>
      <c r="R58" s="756"/>
      <c r="S58" s="756"/>
      <c r="T58" s="756"/>
      <c r="U58" s="756"/>
      <c r="V58" s="756"/>
      <c r="W58" s="756"/>
      <c r="X58" s="756"/>
      <c r="Y58" s="756"/>
      <c r="Z58" s="756"/>
      <c r="AA58" s="756"/>
      <c r="AB58" s="756"/>
      <c r="AC58" s="756"/>
      <c r="AD58" s="756"/>
      <c r="AE58" s="756"/>
      <c r="AF58" s="756"/>
      <c r="AG58" s="756"/>
      <c r="AH58" s="756"/>
      <c r="AI58" s="756"/>
      <c r="AJ58" s="756"/>
      <c r="AK58" s="756"/>
      <c r="AL58" s="756"/>
      <c r="AM58" s="756"/>
      <c r="AN58" s="756"/>
      <c r="AO58" s="756"/>
      <c r="AP58" s="756"/>
      <c r="AQ58" s="756"/>
      <c r="AR58" s="756"/>
      <c r="AS58" s="756"/>
      <c r="AT58" s="756"/>
      <c r="AU58" s="756"/>
      <c r="AV58" s="756"/>
      <c r="AW58" s="756"/>
      <c r="AX58" s="756"/>
      <c r="AY58" s="756"/>
      <c r="AZ58" s="756"/>
      <c r="BA58" s="756"/>
      <c r="BB58" s="757"/>
      <c r="BC58" s="476"/>
      <c r="BD58" s="432"/>
      <c r="BE58" s="432"/>
      <c r="BF58" s="432"/>
      <c r="BG58" s="432"/>
      <c r="BH58" s="432"/>
      <c r="BI58" s="432"/>
      <c r="BJ58" s="432"/>
      <c r="BK58" s="432"/>
      <c r="BL58" s="432"/>
      <c r="BM58" s="432"/>
      <c r="BN58" s="432"/>
      <c r="BO58" s="432"/>
      <c r="BP58" s="432"/>
      <c r="BQ58" s="432"/>
      <c r="BR58" s="432"/>
      <c r="BS58" s="432"/>
      <c r="BT58" s="432"/>
      <c r="BU58" s="432"/>
      <c r="BV58" s="432"/>
      <c r="BW58" s="432"/>
      <c r="BX58" s="432"/>
      <c r="BY58" s="432"/>
      <c r="BZ58" s="432"/>
      <c r="CA58" s="432"/>
      <c r="CB58" s="432"/>
      <c r="CC58" s="432"/>
      <c r="CD58" s="432"/>
      <c r="CE58" s="432"/>
      <c r="CF58" s="432"/>
      <c r="CG58" s="432"/>
      <c r="CH58" s="432"/>
      <c r="CI58" s="432"/>
      <c r="CJ58" s="432"/>
      <c r="CK58" s="432"/>
      <c r="CL58" s="432"/>
      <c r="CM58" s="432"/>
      <c r="CN58" s="432"/>
      <c r="CO58" s="432"/>
      <c r="CP58" s="432"/>
      <c r="CQ58" s="432"/>
      <c r="CR58" s="432"/>
      <c r="CS58" s="432"/>
      <c r="CT58" s="432"/>
      <c r="CU58" s="432"/>
      <c r="CV58" s="432"/>
      <c r="CW58" s="432"/>
      <c r="CX58" s="432"/>
      <c r="CY58" s="432"/>
      <c r="CZ58" s="432"/>
      <c r="DA58" s="432"/>
    </row>
    <row r="59" spans="3:55" ht="18" customHeight="1">
      <c r="C59" s="542"/>
      <c r="D59" s="755"/>
      <c r="E59" s="756"/>
      <c r="F59" s="756"/>
      <c r="G59" s="756"/>
      <c r="H59" s="756"/>
      <c r="I59" s="756"/>
      <c r="J59" s="756"/>
      <c r="K59" s="756"/>
      <c r="L59" s="756"/>
      <c r="M59" s="756"/>
      <c r="N59" s="756"/>
      <c r="O59" s="756"/>
      <c r="P59" s="756"/>
      <c r="Q59" s="756"/>
      <c r="R59" s="756"/>
      <c r="S59" s="756"/>
      <c r="T59" s="756"/>
      <c r="U59" s="756"/>
      <c r="V59" s="756"/>
      <c r="W59" s="756"/>
      <c r="X59" s="756"/>
      <c r="Y59" s="756"/>
      <c r="Z59" s="756"/>
      <c r="AA59" s="756"/>
      <c r="AB59" s="756"/>
      <c r="AC59" s="756"/>
      <c r="AD59" s="756"/>
      <c r="AE59" s="756"/>
      <c r="AF59" s="756"/>
      <c r="AG59" s="756"/>
      <c r="AH59" s="756"/>
      <c r="AI59" s="756"/>
      <c r="AJ59" s="756"/>
      <c r="AK59" s="756"/>
      <c r="AL59" s="756"/>
      <c r="AM59" s="756"/>
      <c r="AN59" s="756"/>
      <c r="AO59" s="756"/>
      <c r="AP59" s="756"/>
      <c r="AQ59" s="756"/>
      <c r="AR59" s="756"/>
      <c r="AS59" s="756"/>
      <c r="AT59" s="756"/>
      <c r="AU59" s="756"/>
      <c r="AV59" s="756"/>
      <c r="AW59" s="756"/>
      <c r="AX59" s="756"/>
      <c r="AY59" s="756"/>
      <c r="AZ59" s="756"/>
      <c r="BA59" s="756"/>
      <c r="BB59" s="757"/>
      <c r="BC59" s="476"/>
    </row>
    <row r="60" spans="3:55" ht="18" customHeight="1">
      <c r="C60" s="542"/>
      <c r="D60" s="755"/>
      <c r="E60" s="756"/>
      <c r="F60" s="756"/>
      <c r="G60" s="756"/>
      <c r="H60" s="756"/>
      <c r="I60" s="756"/>
      <c r="J60" s="756"/>
      <c r="K60" s="756"/>
      <c r="L60" s="756"/>
      <c r="M60" s="756"/>
      <c r="N60" s="756"/>
      <c r="O60" s="756"/>
      <c r="P60" s="756"/>
      <c r="Q60" s="756"/>
      <c r="R60" s="756"/>
      <c r="S60" s="756"/>
      <c r="T60" s="756"/>
      <c r="U60" s="756"/>
      <c r="V60" s="756"/>
      <c r="W60" s="756"/>
      <c r="X60" s="756"/>
      <c r="Y60" s="756"/>
      <c r="Z60" s="756"/>
      <c r="AA60" s="756"/>
      <c r="AB60" s="756"/>
      <c r="AC60" s="756"/>
      <c r="AD60" s="756"/>
      <c r="AE60" s="756"/>
      <c r="AF60" s="756"/>
      <c r="AG60" s="756"/>
      <c r="AH60" s="756"/>
      <c r="AI60" s="756"/>
      <c r="AJ60" s="756"/>
      <c r="AK60" s="756"/>
      <c r="AL60" s="756"/>
      <c r="AM60" s="756"/>
      <c r="AN60" s="756"/>
      <c r="AO60" s="756"/>
      <c r="AP60" s="756"/>
      <c r="AQ60" s="756"/>
      <c r="AR60" s="756"/>
      <c r="AS60" s="756"/>
      <c r="AT60" s="756"/>
      <c r="AU60" s="756"/>
      <c r="AV60" s="756"/>
      <c r="AW60" s="756"/>
      <c r="AX60" s="756"/>
      <c r="AY60" s="756"/>
      <c r="AZ60" s="756"/>
      <c r="BA60" s="756"/>
      <c r="BB60" s="757"/>
      <c r="BC60" s="476"/>
    </row>
    <row r="61" spans="3:55" ht="18" customHeight="1">
      <c r="C61" s="542"/>
      <c r="D61" s="755"/>
      <c r="E61" s="756"/>
      <c r="F61" s="756"/>
      <c r="G61" s="756"/>
      <c r="H61" s="756"/>
      <c r="I61" s="756"/>
      <c r="J61" s="756"/>
      <c r="K61" s="756"/>
      <c r="L61" s="756"/>
      <c r="M61" s="756"/>
      <c r="N61" s="756"/>
      <c r="O61" s="756"/>
      <c r="P61" s="756"/>
      <c r="Q61" s="756"/>
      <c r="R61" s="756"/>
      <c r="S61" s="756"/>
      <c r="T61" s="756"/>
      <c r="U61" s="756"/>
      <c r="V61" s="756"/>
      <c r="W61" s="756"/>
      <c r="X61" s="756"/>
      <c r="Y61" s="756"/>
      <c r="Z61" s="756"/>
      <c r="AA61" s="756"/>
      <c r="AB61" s="756"/>
      <c r="AC61" s="756"/>
      <c r="AD61" s="756"/>
      <c r="AE61" s="756"/>
      <c r="AF61" s="756"/>
      <c r="AG61" s="756"/>
      <c r="AH61" s="756"/>
      <c r="AI61" s="756"/>
      <c r="AJ61" s="756"/>
      <c r="AK61" s="756"/>
      <c r="AL61" s="756"/>
      <c r="AM61" s="756"/>
      <c r="AN61" s="756"/>
      <c r="AO61" s="756"/>
      <c r="AP61" s="756"/>
      <c r="AQ61" s="756"/>
      <c r="AR61" s="756"/>
      <c r="AS61" s="756"/>
      <c r="AT61" s="756"/>
      <c r="AU61" s="756"/>
      <c r="AV61" s="756"/>
      <c r="AW61" s="756"/>
      <c r="AX61" s="756"/>
      <c r="AY61" s="756"/>
      <c r="AZ61" s="756"/>
      <c r="BA61" s="756"/>
      <c r="BB61" s="757"/>
      <c r="BC61" s="476"/>
    </row>
    <row r="62" spans="3:55" ht="18" customHeight="1">
      <c r="C62" s="542"/>
      <c r="D62" s="755"/>
      <c r="E62" s="756"/>
      <c r="F62" s="756"/>
      <c r="G62" s="756"/>
      <c r="H62" s="756"/>
      <c r="I62" s="756"/>
      <c r="J62" s="756"/>
      <c r="K62" s="756"/>
      <c r="L62" s="756"/>
      <c r="M62" s="756"/>
      <c r="N62" s="756"/>
      <c r="O62" s="756"/>
      <c r="P62" s="756"/>
      <c r="Q62" s="756"/>
      <c r="R62" s="756"/>
      <c r="S62" s="756"/>
      <c r="T62" s="756"/>
      <c r="U62" s="756"/>
      <c r="V62" s="756"/>
      <c r="W62" s="756"/>
      <c r="X62" s="756"/>
      <c r="Y62" s="756"/>
      <c r="Z62" s="756"/>
      <c r="AA62" s="756"/>
      <c r="AB62" s="756"/>
      <c r="AC62" s="756"/>
      <c r="AD62" s="756"/>
      <c r="AE62" s="756"/>
      <c r="AF62" s="756"/>
      <c r="AG62" s="756"/>
      <c r="AH62" s="756"/>
      <c r="AI62" s="756"/>
      <c r="AJ62" s="756"/>
      <c r="AK62" s="756"/>
      <c r="AL62" s="756"/>
      <c r="AM62" s="756"/>
      <c r="AN62" s="756"/>
      <c r="AO62" s="756"/>
      <c r="AP62" s="756"/>
      <c r="AQ62" s="756"/>
      <c r="AR62" s="756"/>
      <c r="AS62" s="756"/>
      <c r="AT62" s="756"/>
      <c r="AU62" s="756"/>
      <c r="AV62" s="756"/>
      <c r="AW62" s="756"/>
      <c r="AX62" s="756"/>
      <c r="AY62" s="756"/>
      <c r="AZ62" s="756"/>
      <c r="BA62" s="756"/>
      <c r="BB62" s="757"/>
      <c r="BC62" s="476"/>
    </row>
    <row r="63" spans="3:55" ht="18" customHeight="1">
      <c r="C63" s="542"/>
      <c r="D63" s="755"/>
      <c r="E63" s="756"/>
      <c r="F63" s="756"/>
      <c r="G63" s="756"/>
      <c r="H63" s="756"/>
      <c r="I63" s="756"/>
      <c r="J63" s="756"/>
      <c r="K63" s="756"/>
      <c r="L63" s="756"/>
      <c r="M63" s="756"/>
      <c r="N63" s="756"/>
      <c r="O63" s="756"/>
      <c r="P63" s="756"/>
      <c r="Q63" s="756"/>
      <c r="R63" s="756"/>
      <c r="S63" s="756"/>
      <c r="T63" s="756"/>
      <c r="U63" s="756"/>
      <c r="V63" s="756"/>
      <c r="W63" s="756"/>
      <c r="X63" s="756"/>
      <c r="Y63" s="756"/>
      <c r="Z63" s="756"/>
      <c r="AA63" s="756"/>
      <c r="AB63" s="756"/>
      <c r="AC63" s="756"/>
      <c r="AD63" s="756"/>
      <c r="AE63" s="756"/>
      <c r="AF63" s="756"/>
      <c r="AG63" s="756"/>
      <c r="AH63" s="756"/>
      <c r="AI63" s="756"/>
      <c r="AJ63" s="756"/>
      <c r="AK63" s="756"/>
      <c r="AL63" s="756"/>
      <c r="AM63" s="756"/>
      <c r="AN63" s="756"/>
      <c r="AO63" s="756"/>
      <c r="AP63" s="756"/>
      <c r="AQ63" s="756"/>
      <c r="AR63" s="756"/>
      <c r="AS63" s="756"/>
      <c r="AT63" s="756"/>
      <c r="AU63" s="756"/>
      <c r="AV63" s="756"/>
      <c r="AW63" s="756"/>
      <c r="AX63" s="756"/>
      <c r="AY63" s="756"/>
      <c r="AZ63" s="756"/>
      <c r="BA63" s="756"/>
      <c r="BB63" s="757"/>
      <c r="BC63" s="476"/>
    </row>
    <row r="64" spans="3:55" ht="18" customHeight="1">
      <c r="C64" s="542"/>
      <c r="D64" s="755"/>
      <c r="E64" s="756"/>
      <c r="F64" s="756"/>
      <c r="G64" s="756"/>
      <c r="H64" s="756"/>
      <c r="I64" s="756"/>
      <c r="J64" s="756"/>
      <c r="K64" s="756"/>
      <c r="L64" s="756"/>
      <c r="M64" s="756"/>
      <c r="N64" s="756"/>
      <c r="O64" s="756"/>
      <c r="P64" s="756"/>
      <c r="Q64" s="756"/>
      <c r="R64" s="756"/>
      <c r="S64" s="756"/>
      <c r="T64" s="756"/>
      <c r="U64" s="756"/>
      <c r="V64" s="756"/>
      <c r="W64" s="756"/>
      <c r="X64" s="756"/>
      <c r="Y64" s="756"/>
      <c r="Z64" s="756"/>
      <c r="AA64" s="756"/>
      <c r="AB64" s="756"/>
      <c r="AC64" s="756"/>
      <c r="AD64" s="756"/>
      <c r="AE64" s="756"/>
      <c r="AF64" s="756"/>
      <c r="AG64" s="756"/>
      <c r="AH64" s="756"/>
      <c r="AI64" s="756"/>
      <c r="AJ64" s="756"/>
      <c r="AK64" s="756"/>
      <c r="AL64" s="756"/>
      <c r="AM64" s="756"/>
      <c r="AN64" s="756"/>
      <c r="AO64" s="756"/>
      <c r="AP64" s="756"/>
      <c r="AQ64" s="756"/>
      <c r="AR64" s="756"/>
      <c r="AS64" s="756"/>
      <c r="AT64" s="756"/>
      <c r="AU64" s="756"/>
      <c r="AV64" s="756"/>
      <c r="AW64" s="756"/>
      <c r="AX64" s="756"/>
      <c r="AY64" s="756"/>
      <c r="AZ64" s="756"/>
      <c r="BA64" s="756"/>
      <c r="BB64" s="757"/>
      <c r="BC64" s="476"/>
    </row>
    <row r="65" spans="3:55" ht="18" customHeight="1">
      <c r="C65" s="542"/>
      <c r="D65" s="755"/>
      <c r="E65" s="756"/>
      <c r="F65" s="756"/>
      <c r="G65" s="756"/>
      <c r="H65" s="756"/>
      <c r="I65" s="756"/>
      <c r="J65" s="756"/>
      <c r="K65" s="756"/>
      <c r="L65" s="756"/>
      <c r="M65" s="756"/>
      <c r="N65" s="756"/>
      <c r="O65" s="756"/>
      <c r="P65" s="756"/>
      <c r="Q65" s="756"/>
      <c r="R65" s="756"/>
      <c r="S65" s="756"/>
      <c r="T65" s="756"/>
      <c r="U65" s="756"/>
      <c r="V65" s="756"/>
      <c r="W65" s="756"/>
      <c r="X65" s="756"/>
      <c r="Y65" s="756"/>
      <c r="Z65" s="756"/>
      <c r="AA65" s="756"/>
      <c r="AB65" s="756"/>
      <c r="AC65" s="756"/>
      <c r="AD65" s="756"/>
      <c r="AE65" s="756"/>
      <c r="AF65" s="756"/>
      <c r="AG65" s="756"/>
      <c r="AH65" s="756"/>
      <c r="AI65" s="756"/>
      <c r="AJ65" s="756"/>
      <c r="AK65" s="756"/>
      <c r="AL65" s="756"/>
      <c r="AM65" s="756"/>
      <c r="AN65" s="756"/>
      <c r="AO65" s="756"/>
      <c r="AP65" s="756"/>
      <c r="AQ65" s="756"/>
      <c r="AR65" s="756"/>
      <c r="AS65" s="756"/>
      <c r="AT65" s="756"/>
      <c r="AU65" s="756"/>
      <c r="AV65" s="756"/>
      <c r="AW65" s="756"/>
      <c r="AX65" s="756"/>
      <c r="AY65" s="756"/>
      <c r="AZ65" s="756"/>
      <c r="BA65" s="756"/>
      <c r="BB65" s="757"/>
      <c r="BC65" s="476"/>
    </row>
    <row r="66" spans="3:55" ht="18" customHeight="1">
      <c r="C66" s="542"/>
      <c r="D66" s="755"/>
      <c r="E66" s="756"/>
      <c r="F66" s="756"/>
      <c r="G66" s="756"/>
      <c r="H66" s="756"/>
      <c r="I66" s="756"/>
      <c r="J66" s="756"/>
      <c r="K66" s="756"/>
      <c r="L66" s="756"/>
      <c r="M66" s="756"/>
      <c r="N66" s="756"/>
      <c r="O66" s="756"/>
      <c r="P66" s="756"/>
      <c r="Q66" s="756"/>
      <c r="R66" s="756"/>
      <c r="S66" s="756"/>
      <c r="T66" s="756"/>
      <c r="U66" s="756"/>
      <c r="V66" s="756"/>
      <c r="W66" s="756"/>
      <c r="X66" s="756"/>
      <c r="Y66" s="756"/>
      <c r="Z66" s="756"/>
      <c r="AA66" s="756"/>
      <c r="AB66" s="756"/>
      <c r="AC66" s="756"/>
      <c r="AD66" s="756"/>
      <c r="AE66" s="756"/>
      <c r="AF66" s="756"/>
      <c r="AG66" s="756"/>
      <c r="AH66" s="756"/>
      <c r="AI66" s="756"/>
      <c r="AJ66" s="756"/>
      <c r="AK66" s="756"/>
      <c r="AL66" s="756"/>
      <c r="AM66" s="756"/>
      <c r="AN66" s="756"/>
      <c r="AO66" s="756"/>
      <c r="AP66" s="756"/>
      <c r="AQ66" s="756"/>
      <c r="AR66" s="756"/>
      <c r="AS66" s="756"/>
      <c r="AT66" s="756"/>
      <c r="AU66" s="756"/>
      <c r="AV66" s="756"/>
      <c r="AW66" s="756"/>
      <c r="AX66" s="756"/>
      <c r="AY66" s="756"/>
      <c r="AZ66" s="756"/>
      <c r="BA66" s="756"/>
      <c r="BB66" s="757"/>
      <c r="BC66" s="476"/>
    </row>
    <row r="67" spans="3:55" ht="18" customHeight="1">
      <c r="C67" s="542"/>
      <c r="D67" s="755"/>
      <c r="E67" s="756"/>
      <c r="F67" s="756"/>
      <c r="G67" s="756"/>
      <c r="H67" s="756"/>
      <c r="I67" s="756"/>
      <c r="J67" s="756"/>
      <c r="K67" s="756"/>
      <c r="L67" s="756"/>
      <c r="M67" s="756"/>
      <c r="N67" s="756"/>
      <c r="O67" s="756"/>
      <c r="P67" s="756"/>
      <c r="Q67" s="756"/>
      <c r="R67" s="756"/>
      <c r="S67" s="756"/>
      <c r="T67" s="756"/>
      <c r="U67" s="756"/>
      <c r="V67" s="756"/>
      <c r="W67" s="756"/>
      <c r="X67" s="756"/>
      <c r="Y67" s="756"/>
      <c r="Z67" s="756"/>
      <c r="AA67" s="756"/>
      <c r="AB67" s="756"/>
      <c r="AC67" s="756"/>
      <c r="AD67" s="756"/>
      <c r="AE67" s="756"/>
      <c r="AF67" s="756"/>
      <c r="AG67" s="756"/>
      <c r="AH67" s="756"/>
      <c r="AI67" s="756"/>
      <c r="AJ67" s="756"/>
      <c r="AK67" s="756"/>
      <c r="AL67" s="756"/>
      <c r="AM67" s="756"/>
      <c r="AN67" s="756"/>
      <c r="AO67" s="756"/>
      <c r="AP67" s="756"/>
      <c r="AQ67" s="756"/>
      <c r="AR67" s="756"/>
      <c r="AS67" s="756"/>
      <c r="AT67" s="756"/>
      <c r="AU67" s="756"/>
      <c r="AV67" s="756"/>
      <c r="AW67" s="756"/>
      <c r="AX67" s="756"/>
      <c r="AY67" s="756"/>
      <c r="AZ67" s="756"/>
      <c r="BA67" s="756"/>
      <c r="BB67" s="757"/>
      <c r="BC67" s="476"/>
    </row>
    <row r="68" spans="3:55" ht="18" customHeight="1">
      <c r="C68" s="581"/>
      <c r="D68" s="755"/>
      <c r="E68" s="756"/>
      <c r="F68" s="756"/>
      <c r="G68" s="756"/>
      <c r="H68" s="756"/>
      <c r="I68" s="756"/>
      <c r="J68" s="756"/>
      <c r="K68" s="756"/>
      <c r="L68" s="756"/>
      <c r="M68" s="756"/>
      <c r="N68" s="756"/>
      <c r="O68" s="756"/>
      <c r="P68" s="756"/>
      <c r="Q68" s="756"/>
      <c r="R68" s="756"/>
      <c r="S68" s="756"/>
      <c r="T68" s="756"/>
      <c r="U68" s="756"/>
      <c r="V68" s="756"/>
      <c r="W68" s="756"/>
      <c r="X68" s="756"/>
      <c r="Y68" s="756"/>
      <c r="Z68" s="756"/>
      <c r="AA68" s="756"/>
      <c r="AB68" s="756"/>
      <c r="AC68" s="756"/>
      <c r="AD68" s="756"/>
      <c r="AE68" s="756"/>
      <c r="AF68" s="756"/>
      <c r="AG68" s="756"/>
      <c r="AH68" s="756"/>
      <c r="AI68" s="756"/>
      <c r="AJ68" s="756"/>
      <c r="AK68" s="756"/>
      <c r="AL68" s="756"/>
      <c r="AM68" s="756"/>
      <c r="AN68" s="756"/>
      <c r="AO68" s="756"/>
      <c r="AP68" s="756"/>
      <c r="AQ68" s="756"/>
      <c r="AR68" s="756"/>
      <c r="AS68" s="756"/>
      <c r="AT68" s="756"/>
      <c r="AU68" s="756"/>
      <c r="AV68" s="756"/>
      <c r="AW68" s="756"/>
      <c r="AX68" s="756"/>
      <c r="AY68" s="756"/>
      <c r="AZ68" s="756"/>
      <c r="BA68" s="756"/>
      <c r="BB68" s="757"/>
      <c r="BC68" s="476"/>
    </row>
    <row r="69" spans="3:55" ht="18" customHeight="1">
      <c r="C69" s="579"/>
      <c r="D69" s="760"/>
      <c r="E69" s="761"/>
      <c r="F69" s="761"/>
      <c r="G69" s="761"/>
      <c r="H69" s="761"/>
      <c r="I69" s="761"/>
      <c r="J69" s="761"/>
      <c r="K69" s="761"/>
      <c r="L69" s="761"/>
      <c r="M69" s="761"/>
      <c r="N69" s="761"/>
      <c r="O69" s="761"/>
      <c r="P69" s="761"/>
      <c r="Q69" s="761"/>
      <c r="R69" s="761"/>
      <c r="S69" s="761"/>
      <c r="T69" s="761"/>
      <c r="U69" s="761"/>
      <c r="V69" s="761"/>
      <c r="W69" s="761"/>
      <c r="X69" s="761"/>
      <c r="Y69" s="761"/>
      <c r="Z69" s="761"/>
      <c r="AA69" s="761"/>
      <c r="AB69" s="761"/>
      <c r="AC69" s="761"/>
      <c r="AD69" s="761"/>
      <c r="AE69" s="761"/>
      <c r="AF69" s="761"/>
      <c r="AG69" s="761"/>
      <c r="AH69" s="761"/>
      <c r="AI69" s="761"/>
      <c r="AJ69" s="761"/>
      <c r="AK69" s="761"/>
      <c r="AL69" s="761"/>
      <c r="AM69" s="761"/>
      <c r="AN69" s="761"/>
      <c r="AO69" s="761"/>
      <c r="AP69" s="761"/>
      <c r="AQ69" s="761"/>
      <c r="AR69" s="761"/>
      <c r="AS69" s="761"/>
      <c r="AT69" s="761"/>
      <c r="AU69" s="761"/>
      <c r="AV69" s="761"/>
      <c r="AW69" s="761"/>
      <c r="AX69" s="761"/>
      <c r="AY69" s="761"/>
      <c r="AZ69" s="761"/>
      <c r="BA69" s="761"/>
      <c r="BB69" s="762"/>
      <c r="BC69" s="476"/>
    </row>
    <row r="70" spans="1:105" s="285" customFormat="1" ht="10.5" customHeight="1">
      <c r="A70" s="477"/>
      <c r="B70" s="421"/>
      <c r="C70" s="431"/>
      <c r="D70" s="431"/>
      <c r="E70" s="193"/>
      <c r="F70" s="319"/>
      <c r="G70" s="319"/>
      <c r="H70" s="221"/>
      <c r="I70" s="222"/>
      <c r="J70" s="223"/>
      <c r="K70" s="222"/>
      <c r="L70" s="223"/>
      <c r="M70" s="222"/>
      <c r="N70" s="223"/>
      <c r="O70" s="222"/>
      <c r="P70" s="223"/>
      <c r="Q70" s="222"/>
      <c r="R70" s="223"/>
      <c r="S70" s="222"/>
      <c r="T70" s="223"/>
      <c r="U70" s="222"/>
      <c r="V70" s="223"/>
      <c r="W70" s="222"/>
      <c r="X70" s="221"/>
      <c r="Y70" s="222"/>
      <c r="Z70" s="221"/>
      <c r="AA70" s="222"/>
      <c r="AB70" s="221"/>
      <c r="AC70" s="222"/>
      <c r="AD70" s="221"/>
      <c r="AE70" s="222"/>
      <c r="AF70" s="221"/>
      <c r="AG70" s="478"/>
      <c r="AH70" s="221"/>
      <c r="AI70" s="222"/>
      <c r="AJ70" s="223"/>
      <c r="AK70" s="222"/>
      <c r="AL70" s="221"/>
      <c r="AM70" s="222"/>
      <c r="AN70" s="221"/>
      <c r="AO70" s="341"/>
      <c r="AP70" s="341"/>
      <c r="AQ70" s="341"/>
      <c r="AR70" s="341"/>
      <c r="AS70" s="341"/>
      <c r="AT70" s="336"/>
      <c r="AU70" s="341"/>
      <c r="AV70" s="341"/>
      <c r="AW70" s="341"/>
      <c r="AX70" s="336"/>
      <c r="AY70" s="341"/>
      <c r="AZ70" s="336"/>
      <c r="BA70" s="341"/>
      <c r="BC70" s="432"/>
      <c r="BD70" s="191"/>
      <c r="BE70" s="191"/>
      <c r="BF70" s="191"/>
      <c r="BG70" s="191"/>
      <c r="BH70" s="191"/>
      <c r="BI70" s="191"/>
      <c r="BJ70" s="191"/>
      <c r="BK70" s="191"/>
      <c r="BL70" s="191"/>
      <c r="BM70" s="191"/>
      <c r="BN70" s="191"/>
      <c r="BO70" s="191"/>
      <c r="BP70" s="191"/>
      <c r="BQ70" s="191"/>
      <c r="BR70" s="191"/>
      <c r="BS70" s="191"/>
      <c r="BT70" s="191"/>
      <c r="BU70" s="191"/>
      <c r="BV70" s="191"/>
      <c r="BW70" s="191"/>
      <c r="BX70" s="191"/>
      <c r="BY70" s="191"/>
      <c r="BZ70" s="191"/>
      <c r="CA70" s="191"/>
      <c r="CB70" s="191"/>
      <c r="CC70" s="191"/>
      <c r="CD70" s="191"/>
      <c r="CE70" s="191"/>
      <c r="CF70" s="191"/>
      <c r="CG70" s="191"/>
      <c r="CH70" s="191"/>
      <c r="CI70" s="191"/>
      <c r="CJ70" s="191"/>
      <c r="CK70" s="191"/>
      <c r="CL70" s="191"/>
      <c r="CM70" s="191"/>
      <c r="CN70" s="191"/>
      <c r="CO70" s="191"/>
      <c r="CP70" s="191"/>
      <c r="CQ70" s="191"/>
      <c r="CR70" s="191"/>
      <c r="CS70" s="191"/>
      <c r="CT70" s="191"/>
      <c r="CU70" s="191"/>
      <c r="CV70" s="191"/>
      <c r="CW70" s="191"/>
      <c r="CX70" s="191"/>
      <c r="CY70" s="191"/>
      <c r="CZ70" s="191"/>
      <c r="DA70" s="191"/>
    </row>
    <row r="71" spans="1:105" s="285" customFormat="1" ht="12.75">
      <c r="A71" s="477"/>
      <c r="B71" s="421"/>
      <c r="C71" s="431"/>
      <c r="D71" s="431"/>
      <c r="E71" s="193"/>
      <c r="F71" s="319"/>
      <c r="G71" s="319"/>
      <c r="H71" s="221"/>
      <c r="I71" s="222"/>
      <c r="J71" s="223"/>
      <c r="K71" s="222"/>
      <c r="L71" s="223"/>
      <c r="M71" s="222"/>
      <c r="N71" s="223"/>
      <c r="O71" s="222"/>
      <c r="P71" s="223"/>
      <c r="Q71" s="222"/>
      <c r="R71" s="223"/>
      <c r="S71" s="222"/>
      <c r="T71" s="223"/>
      <c r="U71" s="222"/>
      <c r="V71" s="223"/>
      <c r="W71" s="222"/>
      <c r="X71" s="221"/>
      <c r="Y71" s="222"/>
      <c r="Z71" s="221"/>
      <c r="AA71" s="222"/>
      <c r="AB71" s="221"/>
      <c r="AC71" s="222"/>
      <c r="AD71" s="221"/>
      <c r="AE71" s="222"/>
      <c r="AF71" s="221"/>
      <c r="AG71" s="222"/>
      <c r="AH71" s="221"/>
      <c r="AI71" s="222"/>
      <c r="AJ71" s="223"/>
      <c r="AK71" s="222"/>
      <c r="AL71" s="221"/>
      <c r="AM71" s="222"/>
      <c r="AN71" s="221"/>
      <c r="AO71" s="341"/>
      <c r="AP71" s="341"/>
      <c r="AQ71" s="341"/>
      <c r="AR71" s="341"/>
      <c r="AS71" s="341"/>
      <c r="AT71" s="336"/>
      <c r="AU71" s="341"/>
      <c r="AV71" s="341"/>
      <c r="AW71" s="341"/>
      <c r="AX71" s="336"/>
      <c r="AY71" s="341"/>
      <c r="AZ71" s="336"/>
      <c r="BA71" s="341"/>
      <c r="BC71" s="432"/>
      <c r="BD71" s="191"/>
      <c r="BE71" s="191"/>
      <c r="BF71" s="191"/>
      <c r="BG71" s="191"/>
      <c r="BH71" s="191"/>
      <c r="BI71" s="191"/>
      <c r="BJ71" s="191"/>
      <c r="BK71" s="191"/>
      <c r="BL71" s="191"/>
      <c r="BM71" s="191"/>
      <c r="BN71" s="191"/>
      <c r="BO71" s="191"/>
      <c r="BP71" s="191"/>
      <c r="BQ71" s="191"/>
      <c r="BR71" s="191"/>
      <c r="BS71" s="191"/>
      <c r="BT71" s="191"/>
      <c r="BU71" s="191"/>
      <c r="BV71" s="191"/>
      <c r="BW71" s="191"/>
      <c r="BX71" s="191"/>
      <c r="BY71" s="191"/>
      <c r="BZ71" s="191"/>
      <c r="CA71" s="191"/>
      <c r="CB71" s="191"/>
      <c r="CC71" s="191"/>
      <c r="CD71" s="191"/>
      <c r="CE71" s="191"/>
      <c r="CF71" s="191"/>
      <c r="CG71" s="191"/>
      <c r="CH71" s="191"/>
      <c r="CI71" s="191"/>
      <c r="CJ71" s="191"/>
      <c r="CK71" s="191"/>
      <c r="CL71" s="191"/>
      <c r="CM71" s="191"/>
      <c r="CN71" s="191"/>
      <c r="CO71" s="191"/>
      <c r="CP71" s="191"/>
      <c r="CQ71" s="191"/>
      <c r="CR71" s="191"/>
      <c r="CS71" s="191"/>
      <c r="CT71" s="191"/>
      <c r="CU71" s="191"/>
      <c r="CV71" s="191"/>
      <c r="CW71" s="191"/>
      <c r="CX71" s="191"/>
      <c r="CY71" s="191"/>
      <c r="CZ71" s="191"/>
      <c r="DA71" s="191"/>
    </row>
    <row r="72" spans="1:105" s="285" customFormat="1" ht="12.75">
      <c r="A72" s="477"/>
      <c r="B72" s="421"/>
      <c r="C72" s="431"/>
      <c r="D72" s="431"/>
      <c r="E72" s="193"/>
      <c r="F72" s="193"/>
      <c r="G72" s="193"/>
      <c r="H72" s="221"/>
      <c r="I72" s="222"/>
      <c r="J72" s="223"/>
      <c r="K72" s="222"/>
      <c r="L72" s="223"/>
      <c r="M72" s="222"/>
      <c r="N72" s="223"/>
      <c r="O72" s="222"/>
      <c r="P72" s="223"/>
      <c r="Q72" s="222"/>
      <c r="R72" s="223"/>
      <c r="S72" s="222"/>
      <c r="T72" s="223"/>
      <c r="U72" s="222"/>
      <c r="V72" s="223"/>
      <c r="W72" s="222"/>
      <c r="X72" s="221"/>
      <c r="Y72" s="222"/>
      <c r="Z72" s="221"/>
      <c r="AA72" s="222"/>
      <c r="AB72" s="221"/>
      <c r="AC72" s="222"/>
      <c r="AD72" s="221"/>
      <c r="AE72" s="222"/>
      <c r="AF72" s="221"/>
      <c r="AG72" s="222"/>
      <c r="AH72" s="221"/>
      <c r="AI72" s="222"/>
      <c r="AJ72" s="223"/>
      <c r="AK72" s="222"/>
      <c r="AL72" s="221"/>
      <c r="AM72" s="222"/>
      <c r="AN72" s="221"/>
      <c r="AO72" s="341"/>
      <c r="AP72" s="341"/>
      <c r="AQ72" s="341"/>
      <c r="AR72" s="341"/>
      <c r="AS72" s="341"/>
      <c r="AT72" s="336"/>
      <c r="AU72" s="341"/>
      <c r="AV72" s="341"/>
      <c r="AW72" s="341"/>
      <c r="AX72" s="336"/>
      <c r="AY72" s="341"/>
      <c r="AZ72" s="336"/>
      <c r="BA72" s="341"/>
      <c r="BC72" s="432"/>
      <c r="BD72" s="191"/>
      <c r="BE72" s="191"/>
      <c r="BF72" s="191"/>
      <c r="BG72" s="191"/>
      <c r="BH72" s="191"/>
      <c r="BI72" s="191"/>
      <c r="BJ72" s="191"/>
      <c r="BK72" s="191"/>
      <c r="BL72" s="191"/>
      <c r="BM72" s="191"/>
      <c r="BN72" s="191"/>
      <c r="BO72" s="191"/>
      <c r="BP72" s="191"/>
      <c r="BQ72" s="191"/>
      <c r="BR72" s="191"/>
      <c r="BS72" s="191"/>
      <c r="BT72" s="191"/>
      <c r="BU72" s="191"/>
      <c r="BV72" s="191"/>
      <c r="BW72" s="191"/>
      <c r="BX72" s="191"/>
      <c r="BY72" s="191"/>
      <c r="BZ72" s="191"/>
      <c r="CA72" s="191"/>
      <c r="CB72" s="191"/>
      <c r="CC72" s="191"/>
      <c r="CD72" s="191"/>
      <c r="CE72" s="191"/>
      <c r="CF72" s="191"/>
      <c r="CG72" s="191"/>
      <c r="CH72" s="191"/>
      <c r="CI72" s="191"/>
      <c r="CJ72" s="191"/>
      <c r="CK72" s="191"/>
      <c r="CL72" s="191"/>
      <c r="CM72" s="191"/>
      <c r="CN72" s="191"/>
      <c r="CO72" s="191"/>
      <c r="CP72" s="191"/>
      <c r="CQ72" s="191"/>
      <c r="CR72" s="191"/>
      <c r="CS72" s="191"/>
      <c r="CT72" s="191"/>
      <c r="CU72" s="191"/>
      <c r="CV72" s="191"/>
      <c r="CW72" s="191"/>
      <c r="CX72" s="191"/>
      <c r="CY72" s="191"/>
      <c r="CZ72" s="191"/>
      <c r="DA72" s="191"/>
    </row>
    <row r="73" spans="3:4" ht="12.75">
      <c r="C73" s="431"/>
      <c r="D73" s="431"/>
    </row>
    <row r="74" spans="3:40" ht="12.75">
      <c r="C74" s="414"/>
      <c r="D74" s="414"/>
      <c r="E74" s="414"/>
      <c r="F74" s="414"/>
      <c r="G74" s="414"/>
      <c r="H74" s="336"/>
      <c r="I74" s="341"/>
      <c r="J74" s="419"/>
      <c r="K74" s="341"/>
      <c r="L74" s="419"/>
      <c r="M74" s="341"/>
      <c r="N74" s="419"/>
      <c r="O74" s="341"/>
      <c r="P74" s="419"/>
      <c r="Q74" s="341"/>
      <c r="R74" s="419"/>
      <c r="S74" s="341"/>
      <c r="T74" s="419"/>
      <c r="U74" s="341"/>
      <c r="V74" s="419"/>
      <c r="W74" s="341"/>
      <c r="X74" s="336"/>
      <c r="Y74" s="341"/>
      <c r="Z74" s="336"/>
      <c r="AA74" s="341"/>
      <c r="AB74" s="336"/>
      <c r="AC74" s="341"/>
      <c r="AD74" s="336"/>
      <c r="AE74" s="341"/>
      <c r="AF74" s="336"/>
      <c r="AG74" s="341"/>
      <c r="AH74" s="336"/>
      <c r="AI74" s="341"/>
      <c r="AJ74" s="419"/>
      <c r="AK74" s="341"/>
      <c r="AL74" s="336"/>
      <c r="AM74" s="341"/>
      <c r="AN74" s="336"/>
    </row>
  </sheetData>
  <sheetProtection sheet="1" objects="1" scenarios="1" formatCells="0" formatColumns="0" formatRows="0" insertColumns="0"/>
  <mergeCells count="45">
    <mergeCell ref="D30:BB30"/>
    <mergeCell ref="D55:BB55"/>
    <mergeCell ref="D56:BB56"/>
    <mergeCell ref="D63:BB63"/>
    <mergeCell ref="U31:AB31"/>
    <mergeCell ref="D53:BB53"/>
    <mergeCell ref="D54:BB54"/>
    <mergeCell ref="AH33:AI33"/>
    <mergeCell ref="U41:AB41"/>
    <mergeCell ref="U43:AB43"/>
    <mergeCell ref="BQ3:BS3"/>
    <mergeCell ref="D27:BB27"/>
    <mergeCell ref="D29:BB29"/>
    <mergeCell ref="C5:AN5"/>
    <mergeCell ref="D28:AU28"/>
    <mergeCell ref="D61:BB61"/>
    <mergeCell ref="D60:BB60"/>
    <mergeCell ref="P33:Q33"/>
    <mergeCell ref="D26:BB26"/>
    <mergeCell ref="BK3:BM3"/>
    <mergeCell ref="U33:AB33"/>
    <mergeCell ref="U37:AB37"/>
    <mergeCell ref="U35:AB35"/>
    <mergeCell ref="U39:AB39"/>
    <mergeCell ref="E42:H43"/>
    <mergeCell ref="D57:BB57"/>
    <mergeCell ref="D58:BB58"/>
    <mergeCell ref="D69:BB69"/>
    <mergeCell ref="D65:BB65"/>
    <mergeCell ref="D66:BB66"/>
    <mergeCell ref="D67:BB67"/>
    <mergeCell ref="D68:BB68"/>
    <mergeCell ref="D59:BB59"/>
    <mergeCell ref="D64:BB64"/>
    <mergeCell ref="D62:BB62"/>
    <mergeCell ref="AL31:AU31"/>
    <mergeCell ref="AL33:AU33"/>
    <mergeCell ref="AL37:AU37"/>
    <mergeCell ref="D52:BB52"/>
    <mergeCell ref="D49:BB49"/>
    <mergeCell ref="D50:BB50"/>
    <mergeCell ref="D51:BB51"/>
    <mergeCell ref="D48:BB48"/>
    <mergeCell ref="D33:D37"/>
    <mergeCell ref="K32:N37"/>
  </mergeCells>
  <conditionalFormatting sqref="F10 H10 J10 L10 N10 P10 R10 T10 V10 X10 Z10 AB10 AD10 AF10 AH10 AJ10 AL10 AN10 AP10 AR10 AT10 AV10 AX10 AZ10">
    <cfRule type="cellIs" priority="6" dxfId="211" operator="lessThan" stopIfTrue="1">
      <formula>0.99*(F12+F13+F14+F15+F16+F18+F19)</formula>
    </cfRule>
  </conditionalFormatting>
  <conditionalFormatting sqref="F8 H8 J8 L8 N8 P8 R8 T8 V8 X8 Z8 AB8 AD8 AF8 AH8 AJ8 AL8 AN8 AP8 AR8 AT8 AV8 AX8 AZ8">
    <cfRule type="cellIs" priority="5" dxfId="212" operator="lessThan" stopIfTrue="1">
      <formula>0.99*(F9+F10)</formula>
    </cfRule>
  </conditionalFormatting>
  <conditionalFormatting sqref="BG28:DA28 BG30:DA31">
    <cfRule type="cellIs" priority="3" dxfId="211" operator="equal" stopIfTrue="1">
      <formula>"&lt;&gt;"</formula>
    </cfRule>
  </conditionalFormatting>
  <conditionalFormatting sqref="BI21:BI23 CS21:CS23 CU21:CU23 CQ21:CQ23 CQ8:CQ10 CS8:CS10 CU8:CU10 CO21:CO23 CE8:CE10 CE21:CE23 BU21:BU23 CC8:CC10 CA8:CA10 CA21:CA23 CC21:CC23 BY8:BY10 BW8:BW10 BW21:BW23 BY21:BY23 BU8:BU10 BS8:BS10 BS21:BS23 CM8:CM10 CO8:CO10 CK21:CK23 CM21:CM23 CI8:CI10 CK8:CK10 CG8:CG10 CG21:CG23 CI21:CI23 BK8:BK10 BM8:BM10 BO8:BO10 BQ8:BQ10 BK21:BK23 BM21:BM23 BO21:BO23 BQ21:BQ23 CU12:CU19 CO12:CO19 CS12:CS19 CQ12:CQ19 CC12:CC19 CE12:CE19 BY12:BY19 CA12:CA19 BU12:BU19 BW12:BW19 BS12:BS19 CM12:CM19 CK12:CK19 CI12:CI19 CG12:CG19 BK12:BK19 BM12:BM19 BO12:BO19 BQ12:BQ19 DA8:DA23">
    <cfRule type="cellIs" priority="2" dxfId="211" operator="equal" stopIfTrue="1">
      <formula>"&gt; 25%"</formula>
    </cfRule>
  </conditionalFormatting>
  <conditionalFormatting sqref="BI8:BI10 BI12:BI19">
    <cfRule type="cellIs" priority="4" dxfId="211" operator="equal" stopIfTrue="1">
      <formula>"&gt; 100%"</formula>
    </cfRule>
  </conditionalFormatting>
  <conditionalFormatting sqref="CW21:CW23 CY21:CY23 CW8:CW10 CY8:CY10 CY12:CY19 CW12:CW19">
    <cfRule type="cellIs" priority="1" dxfId="211" operator="equal" stopIfTrue="1">
      <formula>"&gt; 25%"</formula>
    </cfRule>
  </conditionalFormatting>
  <printOptions horizontalCentered="1"/>
  <pageMargins left="0.56" right="0.4" top="0.36" bottom="0.47" header="0.24" footer="0.25"/>
  <pageSetup fitToHeight="0" fitToWidth="1" horizontalDpi="600" verticalDpi="600" orientation="landscape" paperSize="9" scale="54" r:id="rId4"/>
  <headerFooter alignWithMargins="0">
    <oddFooter>&amp;C&amp;"Arial,Regular"&amp;8UNSD/United Nations Environment Programme Questionnaire 2018 on Environment Statistics - Water Section - p.&amp;P</oddFooter>
  </headerFooter>
  <rowBreaks count="1" manualBreakCount="1">
    <brk id="43" min="2" max="43"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DI117"/>
  <sheetViews>
    <sheetView showGridLines="0" zoomScale="85" zoomScaleNormal="85" zoomScaleSheetLayoutView="40" workbookViewId="0" topLeftCell="C1">
      <selection activeCell="C1" sqref="C1"/>
    </sheetView>
  </sheetViews>
  <sheetFormatPr defaultColWidth="9.33203125" defaultRowHeight="12.75"/>
  <cols>
    <col min="1" max="1" width="6.83203125" style="180" hidden="1" customWidth="1"/>
    <col min="2" max="2" width="6.5" style="181" hidden="1" customWidth="1"/>
    <col min="3" max="3" width="11.33203125" style="193" customWidth="1"/>
    <col min="4" max="4" width="46.83203125" style="193" customWidth="1"/>
    <col min="5" max="5" width="13.66015625" style="193" customWidth="1"/>
    <col min="6" max="6" width="8" style="193" customWidth="1"/>
    <col min="7" max="7" width="1.83203125" style="193" customWidth="1"/>
    <col min="8" max="8" width="7" style="221" customWidth="1"/>
    <col min="9" max="9" width="1.83203125" style="222" customWidth="1"/>
    <col min="10" max="10" width="7" style="223" customWidth="1"/>
    <col min="11" max="11" width="1.83203125" style="222" customWidth="1"/>
    <col min="12" max="12" width="7" style="223" customWidth="1"/>
    <col min="13" max="13" width="1.83203125" style="222" customWidth="1"/>
    <col min="14" max="14" width="7" style="223" customWidth="1"/>
    <col min="15" max="15" width="1.83203125" style="222" customWidth="1"/>
    <col min="16" max="16" width="7" style="223" customWidth="1"/>
    <col min="17" max="17" width="1.83203125" style="222" customWidth="1"/>
    <col min="18" max="18" width="7" style="223" customWidth="1"/>
    <col min="19" max="19" width="1.83203125" style="222" customWidth="1"/>
    <col min="20" max="20" width="7" style="223" customWidth="1"/>
    <col min="21" max="21" width="1.83203125" style="222" customWidth="1"/>
    <col min="22" max="22" width="7" style="223" customWidth="1"/>
    <col min="23" max="23" width="1.83203125" style="222" customWidth="1"/>
    <col min="24" max="24" width="7" style="221" customWidth="1"/>
    <col min="25" max="25" width="1.83203125" style="222" customWidth="1"/>
    <col min="26" max="26" width="7" style="221" customWidth="1"/>
    <col min="27" max="27" width="1.83203125" style="222" customWidth="1"/>
    <col min="28" max="28" width="7" style="221" customWidth="1"/>
    <col min="29" max="29" width="1.83203125" style="222" customWidth="1"/>
    <col min="30" max="30" width="7" style="221" customWidth="1"/>
    <col min="31" max="31" width="1.83203125" style="222" customWidth="1"/>
    <col min="32" max="32" width="7" style="221" customWidth="1"/>
    <col min="33" max="33" width="1.83203125" style="222" customWidth="1"/>
    <col min="34" max="34" width="7" style="221" customWidth="1"/>
    <col min="35" max="35" width="1.83203125" style="222" customWidth="1"/>
    <col min="36" max="36" width="7" style="223" customWidth="1"/>
    <col min="37" max="37" width="1.83203125" style="222" customWidth="1"/>
    <col min="38" max="38" width="7" style="221" customWidth="1"/>
    <col min="39" max="39" width="1.83203125" style="222" customWidth="1"/>
    <col min="40" max="40" width="7" style="221" customWidth="1"/>
    <col min="41" max="41" width="1.83203125" style="222" customWidth="1"/>
    <col min="42" max="42" width="7" style="222" customWidth="1"/>
    <col min="43" max="43" width="1.83203125" style="222" customWidth="1"/>
    <col min="44" max="44" width="7" style="222" customWidth="1"/>
    <col min="45" max="45" width="1.83203125" style="222" customWidth="1"/>
    <col min="46" max="46" width="7" style="221" customWidth="1"/>
    <col min="47" max="47" width="1.83203125" style="222" customWidth="1"/>
    <col min="48" max="48" width="7" style="222" customWidth="1"/>
    <col min="49" max="49" width="1.83203125" style="222" customWidth="1"/>
    <col min="50" max="50" width="7" style="221" customWidth="1"/>
    <col min="51" max="51" width="1.83203125" style="222" customWidth="1"/>
    <col min="52" max="52" width="7" style="221" customWidth="1"/>
    <col min="53" max="53" width="1.83203125" style="222" customWidth="1"/>
    <col min="54" max="54" width="1.83203125" style="193" customWidth="1"/>
    <col min="55" max="55" width="4.5" style="191" customWidth="1"/>
    <col min="56" max="56" width="7.66015625" style="191" customWidth="1"/>
    <col min="57" max="57" width="34.33203125" style="191" customWidth="1"/>
    <col min="58" max="58" width="10.5" style="191" customWidth="1"/>
    <col min="59" max="59" width="6.16015625" style="191" customWidth="1"/>
    <col min="60" max="60" width="1.5" style="191" customWidth="1"/>
    <col min="61" max="61" width="6.16015625" style="191" customWidth="1"/>
    <col min="62" max="62" width="1.66796875" style="191" customWidth="1"/>
    <col min="63" max="63" width="6.16015625" style="191" customWidth="1"/>
    <col min="64" max="64" width="1.66796875" style="191" customWidth="1"/>
    <col min="65" max="65" width="6.16015625" style="191" customWidth="1"/>
    <col min="66" max="66" width="1.66796875" style="191" customWidth="1"/>
    <col min="67" max="67" width="6.16015625" style="191" customWidth="1"/>
    <col min="68" max="68" width="1.66796875" style="191" customWidth="1"/>
    <col min="69" max="69" width="6.16015625" style="191" customWidth="1"/>
    <col min="70" max="70" width="1.66796875" style="191" customWidth="1"/>
    <col min="71" max="71" width="6.16015625" style="191" customWidth="1"/>
    <col min="72" max="72" width="1.66796875" style="191" customWidth="1"/>
    <col min="73" max="73" width="6.16015625" style="191" customWidth="1"/>
    <col min="74" max="74" width="1.66796875" style="191" customWidth="1"/>
    <col min="75" max="75" width="6.16015625" style="191" customWidth="1"/>
    <col min="76" max="76" width="1.66796875" style="191" customWidth="1"/>
    <col min="77" max="77" width="6.16015625" style="191" customWidth="1"/>
    <col min="78" max="78" width="1.66796875" style="191" customWidth="1"/>
    <col min="79" max="79" width="6.16015625" style="191" customWidth="1"/>
    <col min="80" max="80" width="1.66796875" style="191" customWidth="1"/>
    <col min="81" max="81" width="6.16015625" style="191" customWidth="1"/>
    <col min="82" max="82" width="1.66796875" style="191" customWidth="1"/>
    <col min="83" max="83" width="6.16015625" style="191" customWidth="1"/>
    <col min="84" max="84" width="1.66796875" style="191" customWidth="1"/>
    <col min="85" max="85" width="6.16015625" style="191" customWidth="1"/>
    <col min="86" max="86" width="1.66796875" style="191" customWidth="1"/>
    <col min="87" max="87" width="6.16015625" style="191" customWidth="1"/>
    <col min="88" max="88" width="1.66796875" style="191" customWidth="1"/>
    <col min="89" max="89" width="6.16015625" style="191" customWidth="1"/>
    <col min="90" max="90" width="1.66796875" style="191" customWidth="1"/>
    <col min="91" max="91" width="6.16015625" style="191" customWidth="1"/>
    <col min="92" max="92" width="1.66796875" style="191" customWidth="1"/>
    <col min="93" max="93" width="6.16015625" style="191" customWidth="1"/>
    <col min="94" max="94" width="1.66796875" style="191" customWidth="1"/>
    <col min="95" max="95" width="6.16015625" style="191" customWidth="1"/>
    <col min="96" max="96" width="1.66796875" style="191" customWidth="1"/>
    <col min="97" max="97" width="6.16015625" style="191" customWidth="1"/>
    <col min="98" max="98" width="1.66796875" style="191" customWidth="1"/>
    <col min="99" max="99" width="6.16015625" style="191" customWidth="1"/>
    <col min="100" max="100" width="1.66796875" style="191" customWidth="1"/>
    <col min="101" max="101" width="6.16015625" style="191" customWidth="1"/>
    <col min="102" max="102" width="1.66796875" style="191" customWidth="1"/>
    <col min="103" max="103" width="6.16015625" style="191" customWidth="1"/>
    <col min="104" max="104" width="1.66796875" style="191" customWidth="1"/>
    <col min="105" max="105" width="6.16015625" style="191" customWidth="1"/>
    <col min="106" max="16384" width="9.33203125" style="193" customWidth="1"/>
  </cols>
  <sheetData>
    <row r="1" spans="1:105" s="431" customFormat="1" ht="15.75" customHeight="1">
      <c r="A1" s="430"/>
      <c r="B1" s="181">
        <v>0</v>
      </c>
      <c r="C1" s="182" t="s">
        <v>309</v>
      </c>
      <c r="D1" s="182"/>
      <c r="E1" s="327"/>
      <c r="F1" s="327"/>
      <c r="G1" s="327"/>
      <c r="H1" s="328"/>
      <c r="I1" s="329"/>
      <c r="J1" s="330"/>
      <c r="K1" s="329"/>
      <c r="L1" s="330"/>
      <c r="M1" s="329"/>
      <c r="N1" s="330"/>
      <c r="O1" s="329"/>
      <c r="P1" s="330"/>
      <c r="Q1" s="329"/>
      <c r="R1" s="330"/>
      <c r="S1" s="329"/>
      <c r="T1" s="330"/>
      <c r="U1" s="329"/>
      <c r="V1" s="330"/>
      <c r="W1" s="329"/>
      <c r="X1" s="328"/>
      <c r="Y1" s="329"/>
      <c r="Z1" s="328"/>
      <c r="AA1" s="329"/>
      <c r="AB1" s="328"/>
      <c r="AC1" s="329"/>
      <c r="AD1" s="328"/>
      <c r="AE1" s="329"/>
      <c r="AF1" s="328"/>
      <c r="AG1" s="329"/>
      <c r="AH1" s="328"/>
      <c r="AI1" s="329"/>
      <c r="AJ1" s="330"/>
      <c r="AK1" s="329"/>
      <c r="AL1" s="328"/>
      <c r="AM1" s="329"/>
      <c r="AN1" s="328"/>
      <c r="AO1" s="329"/>
      <c r="AP1" s="329"/>
      <c r="AQ1" s="329"/>
      <c r="AR1" s="329"/>
      <c r="AS1" s="329"/>
      <c r="AT1" s="328"/>
      <c r="AU1" s="329"/>
      <c r="AV1" s="329"/>
      <c r="AW1" s="329"/>
      <c r="AX1" s="328"/>
      <c r="AY1" s="329"/>
      <c r="AZ1" s="328"/>
      <c r="BA1" s="329"/>
      <c r="BB1" s="479"/>
      <c r="BC1" s="472"/>
      <c r="BD1" s="192" t="s">
        <v>84</v>
      </c>
      <c r="BE1" s="640"/>
      <c r="BF1" s="640"/>
      <c r="BG1" s="640"/>
      <c r="BH1" s="640"/>
      <c r="BI1" s="640"/>
      <c r="BJ1" s="640"/>
      <c r="BK1" s="640"/>
      <c r="BL1" s="640"/>
      <c r="BM1" s="640"/>
      <c r="BN1" s="640"/>
      <c r="BO1" s="640"/>
      <c r="BP1" s="640"/>
      <c r="BQ1" s="640"/>
      <c r="BR1" s="640"/>
      <c r="BS1" s="640"/>
      <c r="BT1" s="640"/>
      <c r="BU1" s="640"/>
      <c r="BV1" s="640"/>
      <c r="BW1" s="640"/>
      <c r="BX1" s="640"/>
      <c r="BY1" s="640"/>
      <c r="BZ1" s="640"/>
      <c r="CA1" s="640"/>
      <c r="CB1" s="640"/>
      <c r="CC1" s="640"/>
      <c r="CD1" s="640"/>
      <c r="CE1" s="640"/>
      <c r="CF1" s="640"/>
      <c r="CG1" s="640"/>
      <c r="CH1" s="640"/>
      <c r="CI1" s="640"/>
      <c r="CJ1" s="640"/>
      <c r="CK1" s="640"/>
      <c r="CL1" s="640"/>
      <c r="CM1" s="640"/>
      <c r="CN1" s="640"/>
      <c r="CO1" s="640"/>
      <c r="CP1" s="640"/>
      <c r="CQ1" s="640"/>
      <c r="CR1" s="640"/>
      <c r="CS1" s="640"/>
      <c r="CT1" s="640"/>
      <c r="CU1" s="640"/>
      <c r="CV1" s="640"/>
      <c r="CW1" s="640"/>
      <c r="CX1" s="640"/>
      <c r="CY1" s="640"/>
      <c r="CZ1" s="640"/>
      <c r="DA1" s="640"/>
    </row>
    <row r="2" spans="5:52" ht="6" customHeight="1">
      <c r="E2" s="332"/>
      <c r="F2" s="332"/>
      <c r="G2" s="332"/>
      <c r="H2" s="336"/>
      <c r="AE2" s="341"/>
      <c r="AF2" s="336"/>
      <c r="AG2" s="341"/>
      <c r="AH2" s="336"/>
      <c r="AI2" s="341"/>
      <c r="AJ2" s="419"/>
      <c r="AK2" s="341"/>
      <c r="AL2" s="336"/>
      <c r="AM2" s="341"/>
      <c r="AN2" s="336"/>
      <c r="AO2" s="341"/>
      <c r="AP2" s="341"/>
      <c r="AQ2" s="341"/>
      <c r="AR2" s="341"/>
      <c r="AS2" s="341"/>
      <c r="AT2" s="336"/>
      <c r="AV2" s="341"/>
      <c r="AW2" s="341"/>
      <c r="AX2" s="336"/>
      <c r="AZ2" s="336"/>
    </row>
    <row r="3" spans="1:105" s="353" customFormat="1" ht="17.25" customHeight="1">
      <c r="A3" s="280"/>
      <c r="B3" s="280">
        <v>894</v>
      </c>
      <c r="C3" s="337" t="s">
        <v>311</v>
      </c>
      <c r="D3" s="30" t="s">
        <v>498</v>
      </c>
      <c r="E3" s="422"/>
      <c r="F3" s="423"/>
      <c r="G3" s="424"/>
      <c r="H3" s="425"/>
      <c r="I3" s="426"/>
      <c r="J3" s="425"/>
      <c r="K3" s="426"/>
      <c r="L3" s="425"/>
      <c r="M3" s="426"/>
      <c r="N3" s="425"/>
      <c r="O3" s="426"/>
      <c r="P3" s="425"/>
      <c r="Q3" s="426"/>
      <c r="R3" s="425"/>
      <c r="S3" s="426"/>
      <c r="T3" s="425"/>
      <c r="U3" s="426"/>
      <c r="V3" s="425"/>
      <c r="W3" s="424"/>
      <c r="X3" s="425"/>
      <c r="Y3" s="427"/>
      <c r="Z3" s="108"/>
      <c r="AA3" s="427"/>
      <c r="AB3" s="55"/>
      <c r="AC3" s="337" t="s">
        <v>303</v>
      </c>
      <c r="AD3" s="339"/>
      <c r="AE3" s="338"/>
      <c r="AF3" s="339"/>
      <c r="AG3" s="340"/>
      <c r="AH3" s="425"/>
      <c r="AI3" s="424"/>
      <c r="AJ3" s="425"/>
      <c r="AK3" s="424"/>
      <c r="AL3" s="425"/>
      <c r="AM3" s="424"/>
      <c r="AN3" s="425"/>
      <c r="AO3" s="428"/>
      <c r="AP3" s="428"/>
      <c r="AQ3" s="428"/>
      <c r="AR3" s="428"/>
      <c r="AS3" s="428"/>
      <c r="AT3" s="429"/>
      <c r="AU3" s="429"/>
      <c r="AV3" s="428"/>
      <c r="AW3" s="428"/>
      <c r="AX3" s="429"/>
      <c r="AY3" s="429"/>
      <c r="AZ3" s="429"/>
      <c r="BA3" s="429"/>
      <c r="BB3" s="429"/>
      <c r="BC3" s="343"/>
      <c r="BD3" s="344" t="s">
        <v>51</v>
      </c>
      <c r="BE3" s="433"/>
      <c r="BF3" s="351"/>
      <c r="BG3" s="434"/>
      <c r="BH3" s="434"/>
      <c r="BI3" s="480"/>
      <c r="BJ3" s="480"/>
      <c r="BK3" s="480"/>
      <c r="BL3" s="480"/>
      <c r="BM3" s="435"/>
      <c r="BN3" s="435"/>
      <c r="BO3" s="435"/>
      <c r="BP3" s="435"/>
      <c r="BQ3" s="480"/>
      <c r="BR3" s="480"/>
      <c r="BS3" s="435"/>
      <c r="BT3" s="435"/>
      <c r="BU3" s="435"/>
      <c r="BV3" s="435"/>
      <c r="BW3" s="435"/>
      <c r="BX3" s="435"/>
      <c r="BY3" s="436"/>
      <c r="BZ3" s="436"/>
      <c r="CA3" s="351"/>
      <c r="CB3" s="351"/>
      <c r="CC3" s="351"/>
      <c r="CD3" s="351"/>
      <c r="CE3" s="351"/>
      <c r="CF3" s="351"/>
      <c r="CG3" s="436"/>
      <c r="CH3" s="436"/>
      <c r="CI3" s="351"/>
      <c r="CJ3" s="351"/>
      <c r="CK3" s="351"/>
      <c r="CL3" s="351"/>
      <c r="CM3" s="351"/>
      <c r="CN3" s="351"/>
      <c r="CO3" s="351"/>
      <c r="CP3" s="351"/>
      <c r="CQ3" s="351"/>
      <c r="CR3" s="351"/>
      <c r="CS3" s="351"/>
      <c r="CT3" s="351"/>
      <c r="CU3" s="433"/>
      <c r="CV3" s="433"/>
      <c r="CW3" s="351"/>
      <c r="CX3" s="351"/>
      <c r="CY3" s="433"/>
      <c r="CZ3" s="433"/>
      <c r="DA3" s="433"/>
    </row>
    <row r="4" spans="3:56" ht="6" customHeight="1">
      <c r="C4" s="481"/>
      <c r="D4" s="481"/>
      <c r="E4" s="391"/>
      <c r="F4" s="391"/>
      <c r="G4" s="391"/>
      <c r="H4" s="341"/>
      <c r="I4" s="341"/>
      <c r="J4" s="419"/>
      <c r="K4" s="341"/>
      <c r="L4" s="419"/>
      <c r="M4" s="341"/>
      <c r="N4" s="419"/>
      <c r="O4" s="341"/>
      <c r="P4" s="419"/>
      <c r="Q4" s="341"/>
      <c r="R4" s="419"/>
      <c r="S4" s="341"/>
      <c r="T4" s="419"/>
      <c r="U4" s="341"/>
      <c r="V4" s="419"/>
      <c r="W4" s="341"/>
      <c r="X4" s="336"/>
      <c r="Y4" s="341"/>
      <c r="Z4" s="336"/>
      <c r="AA4" s="341"/>
      <c r="AB4" s="336"/>
      <c r="AC4" s="341"/>
      <c r="AE4" s="341"/>
      <c r="AF4" s="336"/>
      <c r="AG4" s="341"/>
      <c r="AH4" s="336"/>
      <c r="AI4" s="341"/>
      <c r="AJ4" s="419"/>
      <c r="AK4" s="341"/>
      <c r="AL4" s="336"/>
      <c r="AM4" s="341"/>
      <c r="AN4" s="482"/>
      <c r="AO4" s="341"/>
      <c r="AP4" s="341"/>
      <c r="AQ4" s="341"/>
      <c r="AR4" s="341"/>
      <c r="AS4" s="341"/>
      <c r="AT4" s="336"/>
      <c r="AV4" s="341"/>
      <c r="AW4" s="341"/>
      <c r="AX4" s="336"/>
      <c r="AZ4" s="336"/>
      <c r="BD4" s="318"/>
    </row>
    <row r="5" spans="1:105" s="431" customFormat="1" ht="18" customHeight="1">
      <c r="A5" s="430"/>
      <c r="B5" s="181">
        <v>7</v>
      </c>
      <c r="C5" s="825" t="s">
        <v>217</v>
      </c>
      <c r="D5" s="825"/>
      <c r="E5" s="846"/>
      <c r="F5" s="846"/>
      <c r="G5" s="846"/>
      <c r="H5" s="846"/>
      <c r="I5" s="827"/>
      <c r="J5" s="827"/>
      <c r="K5" s="827"/>
      <c r="L5" s="827"/>
      <c r="M5" s="827"/>
      <c r="N5" s="827"/>
      <c r="O5" s="827"/>
      <c r="P5" s="827"/>
      <c r="Q5" s="827"/>
      <c r="R5" s="827"/>
      <c r="S5" s="827"/>
      <c r="T5" s="827"/>
      <c r="U5" s="827"/>
      <c r="V5" s="827"/>
      <c r="W5" s="827"/>
      <c r="X5" s="846"/>
      <c r="Y5" s="827"/>
      <c r="Z5" s="846"/>
      <c r="AA5" s="827"/>
      <c r="AB5" s="846"/>
      <c r="AC5" s="827"/>
      <c r="AD5" s="846"/>
      <c r="AE5" s="827"/>
      <c r="AF5" s="846"/>
      <c r="AG5" s="827"/>
      <c r="AH5" s="846"/>
      <c r="AI5" s="827"/>
      <c r="AJ5" s="827"/>
      <c r="AK5" s="827"/>
      <c r="AL5" s="846"/>
      <c r="AM5" s="827"/>
      <c r="AN5" s="846"/>
      <c r="AO5" s="355"/>
      <c r="AP5" s="355"/>
      <c r="AQ5" s="355"/>
      <c r="AR5" s="355"/>
      <c r="AS5" s="355"/>
      <c r="AT5" s="356"/>
      <c r="AU5" s="355"/>
      <c r="AV5" s="355"/>
      <c r="AW5" s="355"/>
      <c r="AX5" s="356"/>
      <c r="AY5" s="355"/>
      <c r="AZ5" s="356"/>
      <c r="BA5" s="355"/>
      <c r="BB5" s="437"/>
      <c r="BC5" s="472"/>
      <c r="BD5" s="357" t="s">
        <v>52</v>
      </c>
      <c r="BE5" s="640"/>
      <c r="BF5" s="640"/>
      <c r="BG5" s="640"/>
      <c r="BH5" s="640"/>
      <c r="BI5" s="640"/>
      <c r="BJ5" s="640"/>
      <c r="BK5" s="640"/>
      <c r="BL5" s="640"/>
      <c r="BM5" s="640"/>
      <c r="BN5" s="640"/>
      <c r="BO5" s="640"/>
      <c r="BP5" s="640"/>
      <c r="BQ5" s="640"/>
      <c r="BR5" s="640"/>
      <c r="BS5" s="640"/>
      <c r="BT5" s="640"/>
      <c r="BU5" s="640"/>
      <c r="BV5" s="640"/>
      <c r="BW5" s="640"/>
      <c r="BX5" s="640"/>
      <c r="BY5" s="640"/>
      <c r="BZ5" s="640"/>
      <c r="CA5" s="640"/>
      <c r="CB5" s="640"/>
      <c r="CC5" s="640"/>
      <c r="CD5" s="640"/>
      <c r="CE5" s="640"/>
      <c r="CF5" s="640"/>
      <c r="CG5" s="640"/>
      <c r="CH5" s="640"/>
      <c r="CI5" s="640"/>
      <c r="CJ5" s="640"/>
      <c r="CK5" s="640"/>
      <c r="CL5" s="640"/>
      <c r="CM5" s="640"/>
      <c r="CN5" s="640"/>
      <c r="CO5" s="640"/>
      <c r="CP5" s="640"/>
      <c r="CQ5" s="640"/>
      <c r="CR5" s="640"/>
      <c r="CS5" s="640"/>
      <c r="CT5" s="640"/>
      <c r="CU5" s="640"/>
      <c r="CV5" s="640"/>
      <c r="CW5" s="640"/>
      <c r="CX5" s="640"/>
      <c r="CY5" s="640"/>
      <c r="CZ5" s="640"/>
      <c r="DA5" s="640"/>
    </row>
    <row r="6" spans="1:105" s="439" customFormat="1" ht="14.25" customHeight="1">
      <c r="A6" s="438"/>
      <c r="B6" s="181"/>
      <c r="C6" s="431"/>
      <c r="D6" s="431"/>
      <c r="E6" s="220"/>
      <c r="F6" s="679" t="s">
        <v>508</v>
      </c>
      <c r="G6" s="221"/>
      <c r="H6" s="222"/>
      <c r="I6" s="223"/>
      <c r="J6" s="222"/>
      <c r="K6" s="223"/>
      <c r="L6" s="222"/>
      <c r="M6" s="223"/>
      <c r="N6" s="222"/>
      <c r="O6" s="223"/>
      <c r="P6" s="222"/>
      <c r="Q6" s="223"/>
      <c r="R6" s="222"/>
      <c r="S6" s="223"/>
      <c r="T6" s="222"/>
      <c r="U6" s="223"/>
      <c r="V6" s="222"/>
      <c r="W6" s="221"/>
      <c r="Z6" s="597"/>
      <c r="AA6" s="358"/>
      <c r="AB6" s="359"/>
      <c r="AC6" s="360"/>
      <c r="AD6" s="359"/>
      <c r="AE6" s="360"/>
      <c r="AF6" s="359"/>
      <c r="AG6" s="361"/>
      <c r="AH6" s="359"/>
      <c r="AJ6" s="359"/>
      <c r="AK6" s="360"/>
      <c r="AL6" s="359"/>
      <c r="AM6" s="221"/>
      <c r="AN6" s="359"/>
      <c r="AO6" s="362"/>
      <c r="AP6" s="362"/>
      <c r="AQ6" s="362"/>
      <c r="AR6" s="362"/>
      <c r="AS6" s="362"/>
      <c r="AT6" s="319"/>
      <c r="AU6" s="363"/>
      <c r="AV6" s="362"/>
      <c r="AW6" s="362"/>
      <c r="AX6" s="319"/>
      <c r="AY6" s="363"/>
      <c r="AZ6" s="319"/>
      <c r="BB6" s="319"/>
      <c r="BC6" s="483"/>
      <c r="BD6" s="364" t="s">
        <v>46</v>
      </c>
      <c r="BE6" s="640"/>
      <c r="BF6" s="640"/>
      <c r="BG6" s="640"/>
      <c r="BH6" s="640"/>
      <c r="BI6" s="640"/>
      <c r="BJ6" s="640"/>
      <c r="BK6" s="640"/>
      <c r="BL6" s="640"/>
      <c r="BM6" s="640"/>
      <c r="BN6" s="640"/>
      <c r="BO6" s="640"/>
      <c r="BP6" s="640"/>
      <c r="BQ6" s="640"/>
      <c r="BR6" s="640"/>
      <c r="BS6" s="640"/>
      <c r="BT6" s="640"/>
      <c r="BU6" s="640"/>
      <c r="BV6" s="640"/>
      <c r="BW6" s="640"/>
      <c r="BX6" s="640"/>
      <c r="BY6" s="640"/>
      <c r="BZ6" s="640"/>
      <c r="CA6" s="640"/>
      <c r="CB6" s="640"/>
      <c r="CC6" s="640"/>
      <c r="CD6" s="640"/>
      <c r="CE6" s="640"/>
      <c r="CF6" s="640"/>
      <c r="CG6" s="640"/>
      <c r="CH6" s="640"/>
      <c r="CI6" s="640"/>
      <c r="CJ6" s="640"/>
      <c r="CK6" s="640"/>
      <c r="CL6" s="640"/>
      <c r="CM6" s="640"/>
      <c r="CN6" s="640"/>
      <c r="CO6" s="640"/>
      <c r="CP6" s="640"/>
      <c r="CQ6" s="640"/>
      <c r="CR6" s="640"/>
      <c r="CS6" s="640"/>
      <c r="CT6" s="640"/>
      <c r="CU6" s="640"/>
      <c r="CV6" s="640"/>
      <c r="CW6" s="640"/>
      <c r="CX6" s="640"/>
      <c r="CY6" s="640"/>
      <c r="CZ6" s="640"/>
      <c r="DA6" s="640"/>
    </row>
    <row r="7" spans="2:105" ht="22.5" customHeight="1">
      <c r="B7" s="181">
        <v>2</v>
      </c>
      <c r="C7" s="233" t="s">
        <v>301</v>
      </c>
      <c r="D7" s="233" t="s">
        <v>302</v>
      </c>
      <c r="E7" s="233" t="s">
        <v>305</v>
      </c>
      <c r="F7" s="233">
        <v>1990</v>
      </c>
      <c r="G7" s="234"/>
      <c r="H7" s="233">
        <v>1995</v>
      </c>
      <c r="I7" s="234"/>
      <c r="J7" s="233">
        <v>1996</v>
      </c>
      <c r="K7" s="234"/>
      <c r="L7" s="233">
        <v>1997</v>
      </c>
      <c r="M7" s="234"/>
      <c r="N7" s="233">
        <v>1998</v>
      </c>
      <c r="O7" s="234"/>
      <c r="P7" s="233">
        <v>1999</v>
      </c>
      <c r="Q7" s="234"/>
      <c r="R7" s="233">
        <v>2000</v>
      </c>
      <c r="S7" s="234"/>
      <c r="T7" s="233">
        <v>2001</v>
      </c>
      <c r="U7" s="234"/>
      <c r="V7" s="233">
        <v>2002</v>
      </c>
      <c r="W7" s="234"/>
      <c r="X7" s="233">
        <v>2003</v>
      </c>
      <c r="Y7" s="234"/>
      <c r="Z7" s="233">
        <v>2004</v>
      </c>
      <c r="AA7" s="234"/>
      <c r="AB7" s="233">
        <v>2005</v>
      </c>
      <c r="AC7" s="234"/>
      <c r="AD7" s="233">
        <v>2006</v>
      </c>
      <c r="AE7" s="234"/>
      <c r="AF7" s="233">
        <v>2007</v>
      </c>
      <c r="AG7" s="234"/>
      <c r="AH7" s="233">
        <v>2008</v>
      </c>
      <c r="AI7" s="234"/>
      <c r="AJ7" s="233">
        <v>2009</v>
      </c>
      <c r="AK7" s="234"/>
      <c r="AL7" s="233">
        <v>2010</v>
      </c>
      <c r="AM7" s="234"/>
      <c r="AN7" s="233">
        <v>2011</v>
      </c>
      <c r="AO7" s="234"/>
      <c r="AP7" s="233">
        <v>2012</v>
      </c>
      <c r="AQ7" s="234"/>
      <c r="AR7" s="233">
        <v>2013</v>
      </c>
      <c r="AS7" s="234"/>
      <c r="AT7" s="233">
        <v>2014</v>
      </c>
      <c r="AU7" s="234"/>
      <c r="AV7" s="233">
        <v>2015</v>
      </c>
      <c r="AW7" s="234"/>
      <c r="AX7" s="233">
        <v>2016</v>
      </c>
      <c r="AY7" s="234"/>
      <c r="AZ7" s="233">
        <v>2017</v>
      </c>
      <c r="BA7" s="234"/>
      <c r="BD7" s="233" t="s">
        <v>301</v>
      </c>
      <c r="BE7" s="233" t="s">
        <v>302</v>
      </c>
      <c r="BF7" s="233" t="s">
        <v>305</v>
      </c>
      <c r="BG7" s="232">
        <v>1990</v>
      </c>
      <c r="BH7" s="232"/>
      <c r="BI7" s="233">
        <v>1995</v>
      </c>
      <c r="BJ7" s="484"/>
      <c r="BK7" s="484">
        <v>1996</v>
      </c>
      <c r="BL7" s="484"/>
      <c r="BM7" s="233">
        <v>1997</v>
      </c>
      <c r="BN7" s="233"/>
      <c r="BO7" s="233">
        <v>1998</v>
      </c>
      <c r="BP7" s="484"/>
      <c r="BQ7" s="484">
        <v>1999</v>
      </c>
      <c r="BR7" s="484"/>
      <c r="BS7" s="233">
        <v>2000</v>
      </c>
      <c r="BT7" s="233"/>
      <c r="BU7" s="233">
        <v>2001</v>
      </c>
      <c r="BV7" s="233"/>
      <c r="BW7" s="233">
        <v>2002</v>
      </c>
      <c r="BX7" s="233"/>
      <c r="BY7" s="233">
        <v>2003</v>
      </c>
      <c r="BZ7" s="233"/>
      <c r="CA7" s="233">
        <v>2004</v>
      </c>
      <c r="CB7" s="233"/>
      <c r="CC7" s="233">
        <v>2005</v>
      </c>
      <c r="CD7" s="233"/>
      <c r="CE7" s="233">
        <v>2006</v>
      </c>
      <c r="CF7" s="233"/>
      <c r="CG7" s="233">
        <v>2007</v>
      </c>
      <c r="CH7" s="233"/>
      <c r="CI7" s="233">
        <v>2008</v>
      </c>
      <c r="CJ7" s="233"/>
      <c r="CK7" s="233">
        <v>2009</v>
      </c>
      <c r="CL7" s="233"/>
      <c r="CM7" s="233">
        <v>2010</v>
      </c>
      <c r="CN7" s="233"/>
      <c r="CO7" s="233">
        <v>2011</v>
      </c>
      <c r="CP7" s="233"/>
      <c r="CQ7" s="233">
        <v>2012</v>
      </c>
      <c r="CR7" s="233"/>
      <c r="CS7" s="233">
        <v>2013</v>
      </c>
      <c r="CT7" s="233"/>
      <c r="CU7" s="233">
        <v>2014</v>
      </c>
      <c r="CV7" s="233"/>
      <c r="CW7" s="233">
        <v>2015</v>
      </c>
      <c r="CX7" s="233"/>
      <c r="CY7" s="233">
        <v>2016</v>
      </c>
      <c r="CZ7" s="233"/>
      <c r="DA7" s="233">
        <v>2017</v>
      </c>
    </row>
    <row r="8" spans="2:105" ht="18.75" customHeight="1">
      <c r="B8" s="237">
        <v>84</v>
      </c>
      <c r="C8" s="372">
        <v>1</v>
      </c>
      <c r="D8" s="485" t="s">
        <v>91</v>
      </c>
      <c r="E8" s="255" t="s">
        <v>314</v>
      </c>
      <c r="F8" s="602"/>
      <c r="G8" s="585"/>
      <c r="H8" s="602"/>
      <c r="I8" s="585"/>
      <c r="J8" s="602"/>
      <c r="K8" s="585"/>
      <c r="L8" s="602"/>
      <c r="M8" s="585"/>
      <c r="N8" s="602"/>
      <c r="O8" s="585"/>
      <c r="P8" s="602"/>
      <c r="Q8" s="585"/>
      <c r="R8" s="602"/>
      <c r="S8" s="585"/>
      <c r="T8" s="602"/>
      <c r="U8" s="585"/>
      <c r="V8" s="602"/>
      <c r="W8" s="585"/>
      <c r="X8" s="602"/>
      <c r="Y8" s="585"/>
      <c r="Z8" s="602"/>
      <c r="AA8" s="585"/>
      <c r="AB8" s="602"/>
      <c r="AC8" s="585"/>
      <c r="AD8" s="602"/>
      <c r="AE8" s="585"/>
      <c r="AF8" s="602"/>
      <c r="AG8" s="585"/>
      <c r="AH8" s="602"/>
      <c r="AI8" s="585"/>
      <c r="AJ8" s="602"/>
      <c r="AK8" s="585"/>
      <c r="AL8" s="602"/>
      <c r="AM8" s="585"/>
      <c r="AN8" s="602"/>
      <c r="AO8" s="585"/>
      <c r="AP8" s="602"/>
      <c r="AQ8" s="585"/>
      <c r="AR8" s="602"/>
      <c r="AS8" s="585"/>
      <c r="AT8" s="602"/>
      <c r="AU8" s="585"/>
      <c r="AV8" s="602"/>
      <c r="AW8" s="585"/>
      <c r="AX8" s="602"/>
      <c r="AY8" s="585"/>
      <c r="AZ8" s="602"/>
      <c r="BA8" s="585"/>
      <c r="BD8" s="376">
        <v>1</v>
      </c>
      <c r="BE8" s="486" t="s">
        <v>91</v>
      </c>
      <c r="BF8" s="82" t="s">
        <v>608</v>
      </c>
      <c r="BG8" s="487" t="s">
        <v>85</v>
      </c>
      <c r="BH8" s="117"/>
      <c r="BI8" s="97" t="str">
        <f>IF(OR(ISBLANK(F8),ISBLANK(H8)),"N/A",IF(ABS((H8-F8)/F8)&gt;1,"&gt; 100%","ok"))</f>
        <v>N/A</v>
      </c>
      <c r="BJ8" s="97"/>
      <c r="BK8" s="97" t="str">
        <f aca="true" t="shared" si="0" ref="BK8:BK27">IF(OR(ISBLANK(H8),ISBLANK(J8)),"N/A",IF(ABS((J8-H8)/H8)&gt;0.25,"&gt; 25%","ok"))</f>
        <v>N/A</v>
      </c>
      <c r="BL8" s="97"/>
      <c r="BM8" s="97" t="str">
        <f aca="true" t="shared" si="1" ref="BM8:BM27">IF(OR(ISBLANK(J8),ISBLANK(L8)),"N/A",IF(ABS((L8-J8)/J8)&gt;0.25,"&gt; 25%","ok"))</f>
        <v>N/A</v>
      </c>
      <c r="BN8" s="97"/>
      <c r="BO8" s="97" t="str">
        <f aca="true" t="shared" si="2" ref="BO8:BO27">IF(OR(ISBLANK(L8),ISBLANK(N8)),"N/A",IF(ABS((N8-L8)/L8)&gt;0.25,"&gt; 25%","ok"))</f>
        <v>N/A</v>
      </c>
      <c r="BP8" s="97"/>
      <c r="BQ8" s="97" t="str">
        <f aca="true" t="shared" si="3" ref="BQ8:BQ26">IF(OR(ISBLANK(N8),ISBLANK(P8)),"N/A",IF(ABS((P8-N8)/N8)&gt;0.25,"&gt; 25%","ok"))</f>
        <v>N/A</v>
      </c>
      <c r="BR8" s="97"/>
      <c r="BS8" s="97" t="str">
        <f>IF(OR(ISBLANK(P8),ISBLANK(R8)),"N/A",IF(ABS((R8-P8)/P8)&gt;0.25,"&gt; 25%","ok"))</f>
        <v>N/A</v>
      </c>
      <c r="BT8" s="97"/>
      <c r="BU8" s="97" t="str">
        <f>IF(OR(ISBLANK(R8),ISBLANK(T8)),"N/A",IF(ABS((T8-R8)/R8)&gt;0.25,"&gt; 25%","ok"))</f>
        <v>N/A</v>
      </c>
      <c r="BV8" s="97"/>
      <c r="BW8" s="97" t="str">
        <f>IF(OR(ISBLANK(T8),ISBLANK(V8)),"N/A",IF(ABS((V8-T8)/T8)&gt;0.25,"&gt; 25%","ok"))</f>
        <v>N/A</v>
      </c>
      <c r="BX8" s="97"/>
      <c r="BY8" s="97" t="str">
        <f>IF(OR(ISBLANK(V8),ISBLANK(X8)),"N/A",IF(ABS((X8-V8)/V8)&gt;0.25,"&gt; 25%","ok"))</f>
        <v>N/A</v>
      </c>
      <c r="BZ8" s="97"/>
      <c r="CA8" s="97" t="str">
        <f>IF(OR(ISBLANK(X8),ISBLANK(Z8)),"N/A",IF(ABS((Z8-X8)/X8)&gt;0.25,"&gt; 25%","ok"))</f>
        <v>N/A</v>
      </c>
      <c r="CB8" s="97"/>
      <c r="CC8" s="97" t="str">
        <f>IF(OR(ISBLANK(Z8),ISBLANK(AB8)),"N/A",IF(ABS((AB8-Z8)/Z8)&gt;0.25,"&gt; 25%","ok"))</f>
        <v>N/A</v>
      </c>
      <c r="CD8" s="97"/>
      <c r="CE8" s="97" t="str">
        <f>IF(OR(ISBLANK(AB8),ISBLANK(AD8)),"N/A",IF(ABS((AD8-AB8)/AB8)&gt;0.25,"&gt; 25%","ok"))</f>
        <v>N/A</v>
      </c>
      <c r="CF8" s="97"/>
      <c r="CG8" s="97" t="str">
        <f>IF(OR(ISBLANK(AD8),ISBLANK(AF8)),"N/A",IF(ABS((AF8-AD8)/AD8)&gt;0.25,"&gt; 25%","ok"))</f>
        <v>N/A</v>
      </c>
      <c r="CH8" s="97"/>
      <c r="CI8" s="97" t="str">
        <f>IF(OR(ISBLANK(AF8),ISBLANK(AH8)),"N/A",IF(ABS((AH8-AF8)/AF8)&gt;0.25,"&gt; 25%","ok"))</f>
        <v>N/A</v>
      </c>
      <c r="CJ8" s="97"/>
      <c r="CK8" s="97" t="str">
        <f>IF(OR(ISBLANK(AH8),ISBLANK(AJ8)),"N/A",IF(ABS((AJ8-AH8)/AH8)&gt;0.25,"&gt; 25%","ok"))</f>
        <v>N/A</v>
      </c>
      <c r="CL8" s="97"/>
      <c r="CM8" s="97" t="str">
        <f>IF(OR(ISBLANK(AJ8),ISBLANK(AL8)),"N/A",IF(ABS((AL8-AJ8)/AJ8)&gt;0.25,"&gt; 25%","ok"))</f>
        <v>N/A</v>
      </c>
      <c r="CN8" s="97"/>
      <c r="CO8" s="97" t="str">
        <f>IF(OR(ISBLANK(AL8),ISBLANK(AN8)),"N/A",IF(ABS((AN8-AL8)/AL8)&gt;0.25,"&gt; 25%","ok"))</f>
        <v>N/A</v>
      </c>
      <c r="CP8" s="97"/>
      <c r="CQ8" s="97" t="str">
        <f>IF(OR(ISBLANK(AN8),ISBLANK(AP8)),"N/A",IF(ABS((AP8-AN8)/AN8)&gt;0.25,"&gt; 25%","ok"))</f>
        <v>N/A</v>
      </c>
      <c r="CR8" s="97"/>
      <c r="CS8" s="97" t="str">
        <f>IF(OR(ISBLANK(AP8),ISBLANK(AR8)),"N/A",IF(ABS((AR8-AP8)/AP8)&gt;0.25,"&gt; 25%","ok"))</f>
        <v>N/A</v>
      </c>
      <c r="CT8" s="97"/>
      <c r="CU8" s="97" t="str">
        <f>IF(OR(ISBLANK(AR8),ISBLANK(AT8)),"N/A",IF(ABS((AT8-AR8)/AR8)&gt;0.25,"&gt; 25%","ok"))</f>
        <v>N/A</v>
      </c>
      <c r="CV8" s="97"/>
      <c r="CW8" s="97" t="str">
        <f>IF(OR(ISBLANK(AT8),ISBLANK(AV8)),"N/A",IF(ABS((AV8-AT8)/AT8)&gt;0.25,"&gt; 25%","ok"))</f>
        <v>N/A</v>
      </c>
      <c r="CX8" s="97"/>
      <c r="CY8" s="97" t="str">
        <f>IF(OR(ISBLANK(AV8),ISBLANK(AX8)),"N/A",IF(ABS((AX8-AV8)/AV8)&gt;0.25,"&gt; 25%","ok"))</f>
        <v>N/A</v>
      </c>
      <c r="CZ8" s="97"/>
      <c r="DA8" s="97" t="str">
        <f>IF(OR(ISBLANK(AX8),ISBLANK(AZ8)),"N/A",IF(ABS((AZ8-AX8)/AX8)&gt;0.25,"&gt; 25%","ok"))</f>
        <v>N/A</v>
      </c>
    </row>
    <row r="9" spans="2:107" ht="34.5" customHeight="1">
      <c r="B9" s="488">
        <v>85</v>
      </c>
      <c r="C9" s="255">
        <v>2</v>
      </c>
      <c r="D9" s="666" t="s">
        <v>626</v>
      </c>
      <c r="E9" s="255" t="s">
        <v>314</v>
      </c>
      <c r="F9" s="602"/>
      <c r="G9" s="585"/>
      <c r="H9" s="602"/>
      <c r="I9" s="585"/>
      <c r="J9" s="602"/>
      <c r="K9" s="585"/>
      <c r="L9" s="602"/>
      <c r="M9" s="585"/>
      <c r="N9" s="602"/>
      <c r="O9" s="585"/>
      <c r="P9" s="602"/>
      <c r="Q9" s="585"/>
      <c r="R9" s="602"/>
      <c r="S9" s="585"/>
      <c r="T9" s="602"/>
      <c r="U9" s="585"/>
      <c r="V9" s="602"/>
      <c r="W9" s="585"/>
      <c r="X9" s="602"/>
      <c r="Y9" s="585"/>
      <c r="Z9" s="602"/>
      <c r="AA9" s="585"/>
      <c r="AB9" s="602"/>
      <c r="AC9" s="585"/>
      <c r="AD9" s="602"/>
      <c r="AE9" s="585"/>
      <c r="AF9" s="602"/>
      <c r="AG9" s="585"/>
      <c r="AH9" s="602"/>
      <c r="AI9" s="585"/>
      <c r="AJ9" s="602"/>
      <c r="AK9" s="585"/>
      <c r="AL9" s="602"/>
      <c r="AM9" s="585"/>
      <c r="AN9" s="602"/>
      <c r="AO9" s="585"/>
      <c r="AP9" s="602"/>
      <c r="AQ9" s="585"/>
      <c r="AR9" s="602"/>
      <c r="AS9" s="585"/>
      <c r="AT9" s="602"/>
      <c r="AU9" s="585"/>
      <c r="AV9" s="602"/>
      <c r="AW9" s="585"/>
      <c r="AX9" s="602"/>
      <c r="AY9" s="585"/>
      <c r="AZ9" s="602"/>
      <c r="BA9" s="585"/>
      <c r="BD9" s="82">
        <v>2</v>
      </c>
      <c r="BE9" s="449" t="s">
        <v>463</v>
      </c>
      <c r="BF9" s="82" t="s">
        <v>608</v>
      </c>
      <c r="BG9" s="117" t="s">
        <v>85</v>
      </c>
      <c r="BH9" s="116"/>
      <c r="BI9" s="97" t="str">
        <f>IF(OR(ISBLANK(F9),ISBLANK(H9)),"N/A",IF(ABS((H9-F9)/F9)&gt;1,"&gt; 100%","ok"))</f>
        <v>N/A</v>
      </c>
      <c r="BJ9" s="115"/>
      <c r="BK9" s="97" t="str">
        <f>IF(OR(ISBLANK(H9),ISBLANK(J9)),"N/A",IF(ABS((J9-H9)/H9)&gt;0.25,"&gt; 25%","ok"))</f>
        <v>N/A</v>
      </c>
      <c r="BL9" s="116"/>
      <c r="BM9" s="97" t="str">
        <f t="shared" si="1"/>
        <v>N/A</v>
      </c>
      <c r="BN9" s="116"/>
      <c r="BO9" s="97" t="str">
        <f t="shared" si="2"/>
        <v>N/A</v>
      </c>
      <c r="BP9" s="116"/>
      <c r="BQ9" s="97" t="str">
        <f t="shared" si="3"/>
        <v>N/A</v>
      </c>
      <c r="BR9" s="116"/>
      <c r="BS9" s="97" t="str">
        <f aca="true" t="shared" si="4" ref="BS9:BS17">IF(OR(ISBLANK(P9),ISBLANK(R9)),"N/A",IF(ABS((R9-P9)/P9)&gt;0.25,"&gt; 25%","ok"))</f>
        <v>N/A</v>
      </c>
      <c r="BT9" s="116"/>
      <c r="BU9" s="97" t="str">
        <f aca="true" t="shared" si="5" ref="BU9:BU17">IF(OR(ISBLANK(R9),ISBLANK(T9)),"N/A",IF(ABS((T9-R9)/R9)&gt;0.25,"&gt; 25%","ok"))</f>
        <v>N/A</v>
      </c>
      <c r="BV9" s="115"/>
      <c r="BW9" s="97" t="str">
        <f aca="true" t="shared" si="6" ref="BW9:BW17">IF(OR(ISBLANK(T9),ISBLANK(V9)),"N/A",IF(ABS((V9-T9)/T9)&gt;0.25,"&gt; 25%","ok"))</f>
        <v>N/A</v>
      </c>
      <c r="BX9" s="82"/>
      <c r="BY9" s="97" t="str">
        <f aca="true" t="shared" si="7" ref="BY9:BY17">IF(OR(ISBLANK(V9),ISBLANK(X9)),"N/A",IF(ABS((X9-V9)/V9)&gt;0.25,"&gt; 25%","ok"))</f>
        <v>N/A</v>
      </c>
      <c r="BZ9" s="117"/>
      <c r="CA9" s="97" t="str">
        <f aca="true" t="shared" si="8" ref="CA9:CA17">IF(OR(ISBLANK(X9),ISBLANK(Z9)),"N/A",IF(ABS((Z9-X9)/X9)&gt;0.25,"&gt; 25%","ok"))</f>
        <v>N/A</v>
      </c>
      <c r="CB9" s="115"/>
      <c r="CC9" s="97" t="str">
        <f aca="true" t="shared" si="9" ref="CC9:CC17">IF(OR(ISBLANK(Z9),ISBLANK(AB9)),"N/A",IF(ABS((AB9-Z9)/Z9)&gt;0.25,"&gt; 25%","ok"))</f>
        <v>N/A</v>
      </c>
      <c r="CD9" s="82"/>
      <c r="CE9" s="97" t="str">
        <f aca="true" t="shared" si="10" ref="CE9:CE17">IF(OR(ISBLANK(AB9),ISBLANK(AD9)),"N/A",IF(ABS((AD9-AB9)/AB9)&gt;0.25,"&gt; 25%","ok"))</f>
        <v>N/A</v>
      </c>
      <c r="CF9" s="116"/>
      <c r="CG9" s="97" t="str">
        <f aca="true" t="shared" si="11" ref="CG9:CG17">IF(OR(ISBLANK(AD9),ISBLANK(AF9)),"N/A",IF(ABS((AF9-AD9)/AD9)&gt;0.25,"&gt; 25%","ok"))</f>
        <v>N/A</v>
      </c>
      <c r="CH9" s="115"/>
      <c r="CI9" s="97" t="str">
        <f aca="true" t="shared" si="12" ref="CI9:CI17">IF(OR(ISBLANK(AF9),ISBLANK(AH9)),"N/A",IF(ABS((AH9-AF9)/AF9)&gt;0.25,"&gt; 25%","ok"))</f>
        <v>N/A</v>
      </c>
      <c r="CJ9" s="117"/>
      <c r="CK9" s="97" t="str">
        <f aca="true" t="shared" si="13" ref="CK9:CK17">IF(OR(ISBLANK(AH9),ISBLANK(AJ9)),"N/A",IF(ABS((AJ9-AH9)/AH9)&gt;0.25,"&gt; 25%","ok"))</f>
        <v>N/A</v>
      </c>
      <c r="CL9" s="115"/>
      <c r="CM9" s="97" t="str">
        <f aca="true" t="shared" si="14" ref="CM9:CM17">IF(OR(ISBLANK(AJ9),ISBLANK(AL9)),"N/A",IF(ABS((AL9-AJ9)/AJ9)&gt;0.25,"&gt; 25%","ok"))</f>
        <v>N/A</v>
      </c>
      <c r="CN9" s="82"/>
      <c r="CO9" s="97" t="str">
        <f aca="true" t="shared" si="15" ref="CO9:CO17">IF(OR(ISBLANK(AL9),ISBLANK(AN9)),"N/A",IF(ABS((AN9-AL9)/AL9)&gt;0.25,"&gt; 25%","ok"))</f>
        <v>N/A</v>
      </c>
      <c r="CP9" s="82"/>
      <c r="CQ9" s="97" t="str">
        <f aca="true" t="shared" si="16" ref="CQ9:CQ17">IF(OR(ISBLANK(AN9),ISBLANK(AP9)),"N/A",IF(ABS((AP9-AN9)/AN9)&gt;0.25,"&gt; 25%","ok"))</f>
        <v>N/A</v>
      </c>
      <c r="CR9" s="82"/>
      <c r="CS9" s="97" t="str">
        <f aca="true" t="shared" si="17" ref="CS9:CS17">IF(OR(ISBLANK(AP9),ISBLANK(AR9)),"N/A",IF(ABS((AR9-AP9)/AP9)&gt;0.25,"&gt; 25%","ok"))</f>
        <v>N/A</v>
      </c>
      <c r="CT9" s="117"/>
      <c r="CU9" s="97" t="str">
        <f aca="true" t="shared" si="18" ref="CU9:CU17">IF(OR(ISBLANK(AR9),ISBLANK(AT9)),"N/A",IF(ABS((AT9-AR9)/AR9)&gt;0.25,"&gt; 25%","ok"))</f>
        <v>N/A</v>
      </c>
      <c r="CV9" s="82"/>
      <c r="CW9" s="97" t="str">
        <f aca="true" t="shared" si="19" ref="CW9:CW17">IF(OR(ISBLANK(AT9),ISBLANK(AV9)),"N/A",IF(ABS((AV9-AT9)/AT9)&gt;0.25,"&gt; 25%","ok"))</f>
        <v>N/A</v>
      </c>
      <c r="CX9" s="117"/>
      <c r="CY9" s="97" t="str">
        <f aca="true" t="shared" si="20" ref="CY9:CY17">IF(OR(ISBLANK(AV9),ISBLANK(AX9)),"N/A",IF(ABS((AX9-AV9)/AV9)&gt;0.25,"&gt; 25%","ok"))</f>
        <v>N/A</v>
      </c>
      <c r="CZ9" s="82"/>
      <c r="DA9" s="97" t="str">
        <f aca="true" t="shared" si="21" ref="DA9:DA27">IF(OR(ISBLANK(AX9),ISBLANK(AZ9)),"N/A",IF(ABS((AZ9-AX9)/AX9)&gt;0.25,"&gt; 25%","ok"))</f>
        <v>N/A</v>
      </c>
      <c r="DB9" s="285"/>
      <c r="DC9" s="285"/>
    </row>
    <row r="10" spans="2:107" ht="34.5" customHeight="1">
      <c r="B10" s="493">
        <v>140</v>
      </c>
      <c r="C10" s="255">
        <v>3</v>
      </c>
      <c r="D10" s="666" t="s">
        <v>627</v>
      </c>
      <c r="E10" s="255" t="s">
        <v>314</v>
      </c>
      <c r="F10" s="602"/>
      <c r="G10" s="585"/>
      <c r="H10" s="602"/>
      <c r="I10" s="585"/>
      <c r="J10" s="602"/>
      <c r="K10" s="585"/>
      <c r="L10" s="602"/>
      <c r="M10" s="585"/>
      <c r="N10" s="602"/>
      <c r="O10" s="585"/>
      <c r="P10" s="602"/>
      <c r="Q10" s="585"/>
      <c r="R10" s="602"/>
      <c r="S10" s="585"/>
      <c r="T10" s="602"/>
      <c r="U10" s="585"/>
      <c r="V10" s="602"/>
      <c r="W10" s="585"/>
      <c r="X10" s="602"/>
      <c r="Y10" s="585"/>
      <c r="Z10" s="602"/>
      <c r="AA10" s="585"/>
      <c r="AB10" s="602"/>
      <c r="AC10" s="585"/>
      <c r="AD10" s="602"/>
      <c r="AE10" s="585"/>
      <c r="AF10" s="602"/>
      <c r="AG10" s="585"/>
      <c r="AH10" s="602"/>
      <c r="AI10" s="585"/>
      <c r="AJ10" s="602"/>
      <c r="AK10" s="585"/>
      <c r="AL10" s="602"/>
      <c r="AM10" s="585"/>
      <c r="AN10" s="602"/>
      <c r="AO10" s="585"/>
      <c r="AP10" s="602"/>
      <c r="AQ10" s="585"/>
      <c r="AR10" s="602"/>
      <c r="AS10" s="585"/>
      <c r="AT10" s="602"/>
      <c r="AU10" s="585"/>
      <c r="AV10" s="602"/>
      <c r="AW10" s="585"/>
      <c r="AX10" s="602"/>
      <c r="AY10" s="585"/>
      <c r="AZ10" s="602"/>
      <c r="BA10" s="585"/>
      <c r="BD10" s="82">
        <v>3</v>
      </c>
      <c r="BE10" s="449" t="s">
        <v>538</v>
      </c>
      <c r="BF10" s="82" t="s">
        <v>608</v>
      </c>
      <c r="BG10" s="117"/>
      <c r="BH10" s="116"/>
      <c r="BI10" s="97" t="str">
        <f>IF(OR(ISBLANK(F10),ISBLANK(H10)),"N/A",IF(ABS((H10-F10)/F10)&gt;1,"&gt; 100%","ok"))</f>
        <v>N/A</v>
      </c>
      <c r="BJ10" s="115"/>
      <c r="BK10" s="97" t="str">
        <f>IF(OR(ISBLANK(H10),ISBLANK(J10)),"N/A",IF(ABS((J10-H10)/H10)&gt;0.25,"&gt; 25%","ok"))</f>
        <v>N/A</v>
      </c>
      <c r="BL10" s="116"/>
      <c r="BM10" s="97" t="str">
        <f>IF(OR(ISBLANK(J10),ISBLANK(L10)),"N/A",IF(ABS((L10-J10)/J10)&gt;0.25,"&gt; 25%","ok"))</f>
        <v>N/A</v>
      </c>
      <c r="BN10" s="116"/>
      <c r="BO10" s="97" t="str">
        <f>IF(OR(ISBLANK(L10),ISBLANK(N10)),"N/A",IF(ABS((N10-L10)/L10)&gt;0.25,"&gt; 25%","ok"))</f>
        <v>N/A</v>
      </c>
      <c r="BP10" s="116"/>
      <c r="BQ10" s="97" t="str">
        <f>IF(OR(ISBLANK(N10),ISBLANK(P10)),"N/A",IF(ABS((P10-N10)/N10)&gt;0.25,"&gt; 25%","ok"))</f>
        <v>N/A</v>
      </c>
      <c r="BR10" s="116"/>
      <c r="BS10" s="97" t="str">
        <f>IF(OR(ISBLANK(P10),ISBLANK(R10)),"N/A",IF(ABS((R10-P10)/P10)&gt;0.25,"&gt; 25%","ok"))</f>
        <v>N/A</v>
      </c>
      <c r="BT10" s="116"/>
      <c r="BU10" s="97" t="str">
        <f>IF(OR(ISBLANK(R10),ISBLANK(T10)),"N/A",IF(ABS((T10-R10)/R10)&gt;0.25,"&gt; 25%","ok"))</f>
        <v>N/A</v>
      </c>
      <c r="BV10" s="115"/>
      <c r="BW10" s="97" t="str">
        <f>IF(OR(ISBLANK(T10),ISBLANK(V10)),"N/A",IF(ABS((V10-T10)/T10)&gt;0.25,"&gt; 25%","ok"))</f>
        <v>N/A</v>
      </c>
      <c r="BX10" s="82"/>
      <c r="BY10" s="97" t="str">
        <f>IF(OR(ISBLANK(V10),ISBLANK(X10)),"N/A",IF(ABS((X10-V10)/V10)&gt;0.25,"&gt; 25%","ok"))</f>
        <v>N/A</v>
      </c>
      <c r="BZ10" s="117"/>
      <c r="CA10" s="97" t="str">
        <f>IF(OR(ISBLANK(X10),ISBLANK(Z10)),"N/A",IF(ABS((Z10-X10)/X10)&gt;0.25,"&gt; 25%","ok"))</f>
        <v>N/A</v>
      </c>
      <c r="CB10" s="115"/>
      <c r="CC10" s="97" t="str">
        <f>IF(OR(ISBLANK(Z10),ISBLANK(AB10)),"N/A",IF(ABS((AB10-Z10)/Z10)&gt;0.25,"&gt; 25%","ok"))</f>
        <v>N/A</v>
      </c>
      <c r="CD10" s="82"/>
      <c r="CE10" s="97" t="str">
        <f>IF(OR(ISBLANK(AB10),ISBLANK(AD10)),"N/A",IF(ABS((AD10-AB10)/AB10)&gt;0.25,"&gt; 25%","ok"))</f>
        <v>N/A</v>
      </c>
      <c r="CF10" s="116"/>
      <c r="CG10" s="97" t="str">
        <f>IF(OR(ISBLANK(AD10),ISBLANK(AF10)),"N/A",IF(ABS((AF10-AD10)/AD10)&gt;0.25,"&gt; 25%","ok"))</f>
        <v>N/A</v>
      </c>
      <c r="CH10" s="115"/>
      <c r="CI10" s="97" t="str">
        <f>IF(OR(ISBLANK(AF10),ISBLANK(AH10)),"N/A",IF(ABS((AH10-AF10)/AF10)&gt;0.25,"&gt; 25%","ok"))</f>
        <v>N/A</v>
      </c>
      <c r="CJ10" s="117"/>
      <c r="CK10" s="97" t="str">
        <f>IF(OR(ISBLANK(AH10),ISBLANK(AJ10)),"N/A",IF(ABS((AJ10-AH10)/AH10)&gt;0.25,"&gt; 25%","ok"))</f>
        <v>N/A</v>
      </c>
      <c r="CL10" s="115"/>
      <c r="CM10" s="97" t="str">
        <f>IF(OR(ISBLANK(AJ10),ISBLANK(AL10)),"N/A",IF(ABS((AL10-AJ10)/AJ10)&gt;0.25,"&gt; 25%","ok"))</f>
        <v>N/A</v>
      </c>
      <c r="CN10" s="82"/>
      <c r="CO10" s="97" t="str">
        <f>IF(OR(ISBLANK(AL10),ISBLANK(AN10)),"N/A",IF(ABS((AN10-AL10)/AL10)&gt;0.25,"&gt; 25%","ok"))</f>
        <v>N/A</v>
      </c>
      <c r="CP10" s="82"/>
      <c r="CQ10" s="97" t="str">
        <f>IF(OR(ISBLANK(AN10),ISBLANK(AP10)),"N/A",IF(ABS((AP10-AN10)/AN10)&gt;0.25,"&gt; 25%","ok"))</f>
        <v>N/A</v>
      </c>
      <c r="CR10" s="82"/>
      <c r="CS10" s="97" t="str">
        <f>IF(OR(ISBLANK(AP10),ISBLANK(AR10)),"N/A",IF(ABS((AR10-AP10)/AP10)&gt;0.25,"&gt; 25%","ok"))</f>
        <v>N/A</v>
      </c>
      <c r="CT10" s="117"/>
      <c r="CU10" s="97" t="str">
        <f>IF(OR(ISBLANK(AR10),ISBLANK(AT10)),"N/A",IF(ABS((AT10-AR10)/AR10)&gt;0.25,"&gt; 25%","ok"))</f>
        <v>N/A</v>
      </c>
      <c r="CV10" s="82"/>
      <c r="CW10" s="97" t="str">
        <f>IF(OR(ISBLANK(AT10),ISBLANK(AV10)),"N/A",IF(ABS((AV10-AT10)/AT10)&gt;0.25,"&gt; 25%","ok"))</f>
        <v>N/A</v>
      </c>
      <c r="CX10" s="117"/>
      <c r="CY10" s="97" t="str">
        <f>IF(OR(ISBLANK(AV10),ISBLANK(AX10)),"N/A",IF(ABS((AX10-AV10)/AV10)&gt;0.25,"&gt; 25%","ok"))</f>
        <v>N/A</v>
      </c>
      <c r="CZ10" s="82"/>
      <c r="DA10" s="97" t="str">
        <f>IF(OR(ISBLANK(AX10),ISBLANK(AZ10)),"N/A",IF(ABS((AZ10-AX10)/AX10)&gt;0.25,"&gt; 25%","ok"))</f>
        <v>N/A</v>
      </c>
      <c r="DB10" s="285"/>
      <c r="DC10" s="285"/>
    </row>
    <row r="11" spans="2:107" ht="18.75" customHeight="1">
      <c r="B11" s="237">
        <v>155</v>
      </c>
      <c r="C11" s="255">
        <v>4</v>
      </c>
      <c r="D11" s="666" t="s">
        <v>400</v>
      </c>
      <c r="E11" s="255" t="s">
        <v>314</v>
      </c>
      <c r="F11" s="602"/>
      <c r="G11" s="585"/>
      <c r="H11" s="602"/>
      <c r="I11" s="585"/>
      <c r="J11" s="602"/>
      <c r="K11" s="585"/>
      <c r="L11" s="602"/>
      <c r="M11" s="585"/>
      <c r="N11" s="602"/>
      <c r="O11" s="585"/>
      <c r="P11" s="602"/>
      <c r="Q11" s="585"/>
      <c r="R11" s="602"/>
      <c r="S11" s="585"/>
      <c r="T11" s="602"/>
      <c r="U11" s="585"/>
      <c r="V11" s="602"/>
      <c r="W11" s="585"/>
      <c r="X11" s="602"/>
      <c r="Y11" s="585"/>
      <c r="Z11" s="602"/>
      <c r="AA11" s="585"/>
      <c r="AB11" s="602"/>
      <c r="AC11" s="585"/>
      <c r="AD11" s="602"/>
      <c r="AE11" s="585"/>
      <c r="AF11" s="602"/>
      <c r="AG11" s="585"/>
      <c r="AH11" s="602"/>
      <c r="AI11" s="585"/>
      <c r="AJ11" s="602"/>
      <c r="AK11" s="585"/>
      <c r="AL11" s="602"/>
      <c r="AM11" s="585"/>
      <c r="AN11" s="602"/>
      <c r="AO11" s="585"/>
      <c r="AP11" s="602"/>
      <c r="AQ11" s="585"/>
      <c r="AR11" s="602"/>
      <c r="AS11" s="585"/>
      <c r="AT11" s="602"/>
      <c r="AU11" s="585"/>
      <c r="AV11" s="602"/>
      <c r="AW11" s="585"/>
      <c r="AX11" s="602"/>
      <c r="AY11" s="585"/>
      <c r="AZ11" s="602"/>
      <c r="BA11" s="585"/>
      <c r="BD11" s="82">
        <v>4</v>
      </c>
      <c r="BE11" s="449" t="s">
        <v>505</v>
      </c>
      <c r="BF11" s="82" t="s">
        <v>608</v>
      </c>
      <c r="BG11" s="117" t="s">
        <v>85</v>
      </c>
      <c r="BH11" s="116"/>
      <c r="BI11" s="97" t="str">
        <f aca="true" t="shared" si="22" ref="BI11:BI27">IF(OR(ISBLANK(F11),ISBLANK(H11)),"N/A",IF(ABS((H11-F11)/F11)&gt;1,"&gt; 100%","ok"))</f>
        <v>N/A</v>
      </c>
      <c r="BJ11" s="115"/>
      <c r="BK11" s="97" t="str">
        <f t="shared" si="0"/>
        <v>N/A</v>
      </c>
      <c r="BL11" s="116"/>
      <c r="BM11" s="97" t="str">
        <f t="shared" si="1"/>
        <v>N/A</v>
      </c>
      <c r="BN11" s="116"/>
      <c r="BO11" s="97" t="str">
        <f t="shared" si="2"/>
        <v>N/A</v>
      </c>
      <c r="BP11" s="116"/>
      <c r="BQ11" s="97" t="str">
        <f t="shared" si="3"/>
        <v>N/A</v>
      </c>
      <c r="BR11" s="116"/>
      <c r="BS11" s="97" t="str">
        <f t="shared" si="4"/>
        <v>N/A</v>
      </c>
      <c r="BT11" s="116"/>
      <c r="BU11" s="97" t="str">
        <f t="shared" si="5"/>
        <v>N/A</v>
      </c>
      <c r="BV11" s="115"/>
      <c r="BW11" s="97" t="str">
        <f t="shared" si="6"/>
        <v>N/A</v>
      </c>
      <c r="BX11" s="82"/>
      <c r="BY11" s="97" t="str">
        <f t="shared" si="7"/>
        <v>N/A</v>
      </c>
      <c r="BZ11" s="117"/>
      <c r="CA11" s="97" t="str">
        <f t="shared" si="8"/>
        <v>N/A</v>
      </c>
      <c r="CB11" s="115"/>
      <c r="CC11" s="97" t="str">
        <f t="shared" si="9"/>
        <v>N/A</v>
      </c>
      <c r="CD11" s="82"/>
      <c r="CE11" s="97" t="str">
        <f t="shared" si="10"/>
        <v>N/A</v>
      </c>
      <c r="CF11" s="116"/>
      <c r="CG11" s="97" t="str">
        <f t="shared" si="11"/>
        <v>N/A</v>
      </c>
      <c r="CH11" s="115"/>
      <c r="CI11" s="97" t="str">
        <f t="shared" si="12"/>
        <v>N/A</v>
      </c>
      <c r="CJ11" s="117"/>
      <c r="CK11" s="97" t="str">
        <f t="shared" si="13"/>
        <v>N/A</v>
      </c>
      <c r="CL11" s="115"/>
      <c r="CM11" s="97" t="str">
        <f t="shared" si="14"/>
        <v>N/A</v>
      </c>
      <c r="CN11" s="82"/>
      <c r="CO11" s="97" t="str">
        <f t="shared" si="15"/>
        <v>N/A</v>
      </c>
      <c r="CP11" s="82"/>
      <c r="CQ11" s="97" t="str">
        <f t="shared" si="16"/>
        <v>N/A</v>
      </c>
      <c r="CR11" s="82"/>
      <c r="CS11" s="97" t="str">
        <f t="shared" si="17"/>
        <v>N/A</v>
      </c>
      <c r="CT11" s="117"/>
      <c r="CU11" s="97" t="str">
        <f t="shared" si="18"/>
        <v>N/A</v>
      </c>
      <c r="CV11" s="82"/>
      <c r="CW11" s="97" t="str">
        <f t="shared" si="19"/>
        <v>N/A</v>
      </c>
      <c r="CX11" s="117"/>
      <c r="CY11" s="97" t="str">
        <f t="shared" si="20"/>
        <v>N/A</v>
      </c>
      <c r="CZ11" s="82"/>
      <c r="DA11" s="97" t="str">
        <f t="shared" si="21"/>
        <v>N/A</v>
      </c>
      <c r="DB11" s="209"/>
      <c r="DC11" s="285"/>
    </row>
    <row r="12" spans="2:107" ht="18.75" customHeight="1">
      <c r="B12" s="237">
        <v>142</v>
      </c>
      <c r="C12" s="255">
        <v>5</v>
      </c>
      <c r="D12" s="380" t="s">
        <v>539</v>
      </c>
      <c r="E12" s="255" t="s">
        <v>314</v>
      </c>
      <c r="F12" s="602"/>
      <c r="G12" s="585"/>
      <c r="H12" s="602"/>
      <c r="I12" s="585"/>
      <c r="J12" s="602"/>
      <c r="K12" s="585"/>
      <c r="L12" s="602"/>
      <c r="M12" s="585"/>
      <c r="N12" s="602"/>
      <c r="O12" s="585"/>
      <c r="P12" s="602"/>
      <c r="Q12" s="585"/>
      <c r="R12" s="602"/>
      <c r="S12" s="585"/>
      <c r="T12" s="602"/>
      <c r="U12" s="585"/>
      <c r="V12" s="602"/>
      <c r="W12" s="585"/>
      <c r="X12" s="602"/>
      <c r="Y12" s="585"/>
      <c r="Z12" s="602"/>
      <c r="AA12" s="585"/>
      <c r="AB12" s="602"/>
      <c r="AC12" s="585"/>
      <c r="AD12" s="602"/>
      <c r="AE12" s="585"/>
      <c r="AF12" s="602"/>
      <c r="AG12" s="585"/>
      <c r="AH12" s="602"/>
      <c r="AI12" s="585"/>
      <c r="AJ12" s="602"/>
      <c r="AK12" s="585"/>
      <c r="AL12" s="602"/>
      <c r="AM12" s="585"/>
      <c r="AN12" s="602"/>
      <c r="AO12" s="585"/>
      <c r="AP12" s="602"/>
      <c r="AQ12" s="585"/>
      <c r="AR12" s="602"/>
      <c r="AS12" s="585"/>
      <c r="AT12" s="602"/>
      <c r="AU12" s="585"/>
      <c r="AV12" s="602"/>
      <c r="AW12" s="585"/>
      <c r="AX12" s="602"/>
      <c r="AY12" s="585"/>
      <c r="AZ12" s="602"/>
      <c r="BA12" s="585"/>
      <c r="BD12" s="82">
        <v>5</v>
      </c>
      <c r="BE12" s="449" t="s">
        <v>540</v>
      </c>
      <c r="BF12" s="82" t="s">
        <v>608</v>
      </c>
      <c r="BG12" s="117"/>
      <c r="BH12" s="116"/>
      <c r="BI12" s="97" t="str">
        <f>IF(OR(ISBLANK(F12),ISBLANK(H12)),"N/A",IF(ABS((H12-F12)/F12)&gt;1,"&gt; 100%","ok"))</f>
        <v>N/A</v>
      </c>
      <c r="BJ12" s="115"/>
      <c r="BK12" s="97" t="str">
        <f>IF(OR(ISBLANK(H12),ISBLANK(J12)),"N/A",IF(ABS((J12-H12)/H12)&gt;0.25,"&gt; 25%","ok"))</f>
        <v>N/A</v>
      </c>
      <c r="BL12" s="116"/>
      <c r="BM12" s="97" t="str">
        <f>IF(OR(ISBLANK(J12),ISBLANK(L12)),"N/A",IF(ABS((L12-J12)/J12)&gt;0.25,"&gt; 25%","ok"))</f>
        <v>N/A</v>
      </c>
      <c r="BN12" s="116"/>
      <c r="BO12" s="97" t="str">
        <f>IF(OR(ISBLANK(L12),ISBLANK(N12)),"N/A",IF(ABS((N12-L12)/L12)&gt;0.25,"&gt; 25%","ok"))</f>
        <v>N/A</v>
      </c>
      <c r="BP12" s="116"/>
      <c r="BQ12" s="97" t="str">
        <f>IF(OR(ISBLANK(N12),ISBLANK(P12)),"N/A",IF(ABS((P12-N12)/N12)&gt;0.25,"&gt; 25%","ok"))</f>
        <v>N/A</v>
      </c>
      <c r="BR12" s="116"/>
      <c r="BS12" s="97" t="str">
        <f>IF(OR(ISBLANK(P12),ISBLANK(R12)),"N/A",IF(ABS((R12-P12)/P12)&gt;0.25,"&gt; 25%","ok"))</f>
        <v>N/A</v>
      </c>
      <c r="BT12" s="116"/>
      <c r="BU12" s="97" t="str">
        <f>IF(OR(ISBLANK(R12),ISBLANK(T12)),"N/A",IF(ABS((T12-R12)/R12)&gt;0.25,"&gt; 25%","ok"))</f>
        <v>N/A</v>
      </c>
      <c r="BV12" s="115"/>
      <c r="BW12" s="97" t="str">
        <f>IF(OR(ISBLANK(T12),ISBLANK(V12)),"N/A",IF(ABS((V12-T12)/T12)&gt;0.25,"&gt; 25%","ok"))</f>
        <v>N/A</v>
      </c>
      <c r="BX12" s="82"/>
      <c r="BY12" s="97" t="str">
        <f>IF(OR(ISBLANK(V12),ISBLANK(X12)),"N/A",IF(ABS((X12-V12)/V12)&gt;0.25,"&gt; 25%","ok"))</f>
        <v>N/A</v>
      </c>
      <c r="BZ12" s="117"/>
      <c r="CA12" s="97" t="str">
        <f>IF(OR(ISBLANK(X12),ISBLANK(Z12)),"N/A",IF(ABS((Z12-X12)/X12)&gt;0.25,"&gt; 25%","ok"))</f>
        <v>N/A</v>
      </c>
      <c r="CB12" s="115"/>
      <c r="CC12" s="97" t="str">
        <f>IF(OR(ISBLANK(Z12),ISBLANK(AB12)),"N/A",IF(ABS((AB12-Z12)/Z12)&gt;0.25,"&gt; 25%","ok"))</f>
        <v>N/A</v>
      </c>
      <c r="CD12" s="82"/>
      <c r="CE12" s="97" t="str">
        <f>IF(OR(ISBLANK(AB12),ISBLANK(AD12)),"N/A",IF(ABS((AD12-AB12)/AB12)&gt;0.25,"&gt; 25%","ok"))</f>
        <v>N/A</v>
      </c>
      <c r="CF12" s="116"/>
      <c r="CG12" s="97" t="str">
        <f>IF(OR(ISBLANK(AD12),ISBLANK(AF12)),"N/A",IF(ABS((AF12-AD12)/AD12)&gt;0.25,"&gt; 25%","ok"))</f>
        <v>N/A</v>
      </c>
      <c r="CH12" s="115"/>
      <c r="CI12" s="97" t="str">
        <f>IF(OR(ISBLANK(AF12),ISBLANK(AH12)),"N/A",IF(ABS((AH12-AF12)/AF12)&gt;0.25,"&gt; 25%","ok"))</f>
        <v>N/A</v>
      </c>
      <c r="CJ12" s="117"/>
      <c r="CK12" s="97" t="str">
        <f>IF(OR(ISBLANK(AH12),ISBLANK(AJ12)),"N/A",IF(ABS((AJ12-AH12)/AH12)&gt;0.25,"&gt; 25%","ok"))</f>
        <v>N/A</v>
      </c>
      <c r="CL12" s="115"/>
      <c r="CM12" s="97" t="str">
        <f>IF(OR(ISBLANK(AJ12),ISBLANK(AL12)),"N/A",IF(ABS((AL12-AJ12)/AJ12)&gt;0.25,"&gt; 25%","ok"))</f>
        <v>N/A</v>
      </c>
      <c r="CN12" s="82"/>
      <c r="CO12" s="97" t="str">
        <f>IF(OR(ISBLANK(AL12),ISBLANK(AN12)),"N/A",IF(ABS((AN12-AL12)/AL12)&gt;0.25,"&gt; 25%","ok"))</f>
        <v>N/A</v>
      </c>
      <c r="CP12" s="82"/>
      <c r="CQ12" s="97" t="str">
        <f>IF(OR(ISBLANK(AN12),ISBLANK(AP12)),"N/A",IF(ABS((AP12-AN12)/AN12)&gt;0.25,"&gt; 25%","ok"))</f>
        <v>N/A</v>
      </c>
      <c r="CR12" s="82"/>
      <c r="CS12" s="97" t="str">
        <f>IF(OR(ISBLANK(AP12),ISBLANK(AR12)),"N/A",IF(ABS((AR12-AP12)/AP12)&gt;0.25,"&gt; 25%","ok"))</f>
        <v>N/A</v>
      </c>
      <c r="CT12" s="117"/>
      <c r="CU12" s="97" t="str">
        <f>IF(OR(ISBLANK(AR12),ISBLANK(AT12)),"N/A",IF(ABS((AT12-AR12)/AR12)&gt;0.25,"&gt; 25%","ok"))</f>
        <v>N/A</v>
      </c>
      <c r="CV12" s="82"/>
      <c r="CW12" s="97" t="str">
        <f>IF(OR(ISBLANK(AT12),ISBLANK(AV12)),"N/A",IF(ABS((AV12-AT12)/AT12)&gt;0.25,"&gt; 25%","ok"))</f>
        <v>N/A</v>
      </c>
      <c r="CX12" s="117"/>
      <c r="CY12" s="97" t="str">
        <f>IF(OR(ISBLANK(AV12),ISBLANK(AX12)),"N/A",IF(ABS((AX12-AV12)/AV12)&gt;0.25,"&gt; 25%","ok"))</f>
        <v>N/A</v>
      </c>
      <c r="CZ12" s="82"/>
      <c r="DA12" s="97" t="str">
        <f>IF(OR(ISBLANK(AX12),ISBLANK(AZ12)),"N/A",IF(ABS((AZ12-AX12)/AX12)&gt;0.25,"&gt; 25%","ok"))</f>
        <v>N/A</v>
      </c>
      <c r="DB12" s="209"/>
      <c r="DC12" s="285"/>
    </row>
    <row r="13" spans="2:107" ht="33" customHeight="1">
      <c r="B13" s="237">
        <v>156</v>
      </c>
      <c r="C13" s="255">
        <v>6</v>
      </c>
      <c r="D13" s="668" t="s">
        <v>631</v>
      </c>
      <c r="E13" s="255" t="s">
        <v>314</v>
      </c>
      <c r="F13" s="602"/>
      <c r="G13" s="585"/>
      <c r="H13" s="602"/>
      <c r="I13" s="585"/>
      <c r="J13" s="602"/>
      <c r="K13" s="585"/>
      <c r="L13" s="602"/>
      <c r="M13" s="585"/>
      <c r="N13" s="602"/>
      <c r="O13" s="585"/>
      <c r="P13" s="602"/>
      <c r="Q13" s="585"/>
      <c r="R13" s="602"/>
      <c r="S13" s="585"/>
      <c r="T13" s="602"/>
      <c r="U13" s="585"/>
      <c r="V13" s="602"/>
      <c r="W13" s="585"/>
      <c r="X13" s="602"/>
      <c r="Y13" s="585"/>
      <c r="Z13" s="602"/>
      <c r="AA13" s="585"/>
      <c r="AB13" s="602"/>
      <c r="AC13" s="585"/>
      <c r="AD13" s="602"/>
      <c r="AE13" s="585"/>
      <c r="AF13" s="602"/>
      <c r="AG13" s="585"/>
      <c r="AH13" s="602"/>
      <c r="AI13" s="585"/>
      <c r="AJ13" s="602"/>
      <c r="AK13" s="585"/>
      <c r="AL13" s="602"/>
      <c r="AM13" s="585"/>
      <c r="AN13" s="602"/>
      <c r="AO13" s="585"/>
      <c r="AP13" s="602"/>
      <c r="AQ13" s="585"/>
      <c r="AR13" s="602"/>
      <c r="AS13" s="585"/>
      <c r="AT13" s="602"/>
      <c r="AU13" s="585"/>
      <c r="AV13" s="602"/>
      <c r="AW13" s="585"/>
      <c r="AX13" s="602"/>
      <c r="AY13" s="585"/>
      <c r="AZ13" s="602"/>
      <c r="BA13" s="585"/>
      <c r="BD13" s="82">
        <v>6</v>
      </c>
      <c r="BE13" s="449" t="s">
        <v>609</v>
      </c>
      <c r="BF13" s="82" t="s">
        <v>608</v>
      </c>
      <c r="BG13" s="117" t="s">
        <v>85</v>
      </c>
      <c r="BH13" s="116"/>
      <c r="BI13" s="97" t="str">
        <f t="shared" si="22"/>
        <v>N/A</v>
      </c>
      <c r="BJ13" s="115"/>
      <c r="BK13" s="97" t="str">
        <f t="shared" si="0"/>
        <v>N/A</v>
      </c>
      <c r="BL13" s="116"/>
      <c r="BM13" s="97" t="str">
        <f t="shared" si="1"/>
        <v>N/A</v>
      </c>
      <c r="BN13" s="116"/>
      <c r="BO13" s="97" t="str">
        <f t="shared" si="2"/>
        <v>N/A</v>
      </c>
      <c r="BP13" s="116"/>
      <c r="BQ13" s="97" t="str">
        <f t="shared" si="3"/>
        <v>N/A</v>
      </c>
      <c r="BR13" s="116"/>
      <c r="BS13" s="97" t="str">
        <f t="shared" si="4"/>
        <v>N/A</v>
      </c>
      <c r="BT13" s="116"/>
      <c r="BU13" s="97" t="str">
        <f t="shared" si="5"/>
        <v>N/A</v>
      </c>
      <c r="BV13" s="115"/>
      <c r="BW13" s="97" t="str">
        <f t="shared" si="6"/>
        <v>N/A</v>
      </c>
      <c r="BX13" s="82"/>
      <c r="BY13" s="97" t="str">
        <f t="shared" si="7"/>
        <v>N/A</v>
      </c>
      <c r="BZ13" s="117"/>
      <c r="CA13" s="97" t="str">
        <f t="shared" si="8"/>
        <v>N/A</v>
      </c>
      <c r="CB13" s="115"/>
      <c r="CC13" s="97" t="str">
        <f t="shared" si="9"/>
        <v>N/A</v>
      </c>
      <c r="CD13" s="82"/>
      <c r="CE13" s="97" t="str">
        <f t="shared" si="10"/>
        <v>N/A</v>
      </c>
      <c r="CF13" s="116"/>
      <c r="CG13" s="97" t="str">
        <f t="shared" si="11"/>
        <v>N/A</v>
      </c>
      <c r="CH13" s="115"/>
      <c r="CI13" s="97" t="str">
        <f t="shared" si="12"/>
        <v>N/A</v>
      </c>
      <c r="CJ13" s="117"/>
      <c r="CK13" s="97" t="str">
        <f t="shared" si="13"/>
        <v>N/A</v>
      </c>
      <c r="CL13" s="115"/>
      <c r="CM13" s="97" t="str">
        <f t="shared" si="14"/>
        <v>N/A</v>
      </c>
      <c r="CN13" s="82"/>
      <c r="CO13" s="97" t="str">
        <f t="shared" si="15"/>
        <v>N/A</v>
      </c>
      <c r="CP13" s="82"/>
      <c r="CQ13" s="97" t="str">
        <f t="shared" si="16"/>
        <v>N/A</v>
      </c>
      <c r="CR13" s="82"/>
      <c r="CS13" s="97" t="str">
        <f t="shared" si="17"/>
        <v>N/A</v>
      </c>
      <c r="CT13" s="117"/>
      <c r="CU13" s="97" t="str">
        <f t="shared" si="18"/>
        <v>N/A</v>
      </c>
      <c r="CV13" s="82"/>
      <c r="CW13" s="97" t="str">
        <f t="shared" si="19"/>
        <v>N/A</v>
      </c>
      <c r="CX13" s="117"/>
      <c r="CY13" s="97" t="str">
        <f t="shared" si="20"/>
        <v>N/A</v>
      </c>
      <c r="CZ13" s="82"/>
      <c r="DA13" s="97" t="str">
        <f t="shared" si="21"/>
        <v>N/A</v>
      </c>
      <c r="DB13" s="209"/>
      <c r="DC13" s="285"/>
    </row>
    <row r="14" spans="2:107" ht="27" customHeight="1">
      <c r="B14" s="237">
        <v>144</v>
      </c>
      <c r="C14" s="255">
        <v>7</v>
      </c>
      <c r="D14" s="446" t="s">
        <v>536</v>
      </c>
      <c r="E14" s="255" t="s">
        <v>314</v>
      </c>
      <c r="F14" s="602"/>
      <c r="G14" s="585"/>
      <c r="H14" s="602"/>
      <c r="I14" s="585"/>
      <c r="J14" s="602"/>
      <c r="K14" s="585"/>
      <c r="L14" s="602"/>
      <c r="M14" s="585"/>
      <c r="N14" s="602"/>
      <c r="O14" s="585"/>
      <c r="P14" s="602"/>
      <c r="Q14" s="585"/>
      <c r="R14" s="602"/>
      <c r="S14" s="585"/>
      <c r="T14" s="602"/>
      <c r="U14" s="585"/>
      <c r="V14" s="602"/>
      <c r="W14" s="585"/>
      <c r="X14" s="602"/>
      <c r="Y14" s="585"/>
      <c r="Z14" s="602"/>
      <c r="AA14" s="585"/>
      <c r="AB14" s="602"/>
      <c r="AC14" s="585"/>
      <c r="AD14" s="602"/>
      <c r="AE14" s="585"/>
      <c r="AF14" s="602"/>
      <c r="AG14" s="585"/>
      <c r="AH14" s="602"/>
      <c r="AI14" s="585"/>
      <c r="AJ14" s="602"/>
      <c r="AK14" s="585"/>
      <c r="AL14" s="602"/>
      <c r="AM14" s="585"/>
      <c r="AN14" s="602"/>
      <c r="AO14" s="585"/>
      <c r="AP14" s="602"/>
      <c r="AQ14" s="585"/>
      <c r="AR14" s="602"/>
      <c r="AS14" s="585"/>
      <c r="AT14" s="602"/>
      <c r="AU14" s="585"/>
      <c r="AV14" s="602"/>
      <c r="AW14" s="585"/>
      <c r="AX14" s="602"/>
      <c r="AY14" s="585"/>
      <c r="AZ14" s="602"/>
      <c r="BA14" s="585"/>
      <c r="BD14" s="82">
        <v>7</v>
      </c>
      <c r="BE14" s="449" t="s">
        <v>536</v>
      </c>
      <c r="BF14" s="82" t="s">
        <v>608</v>
      </c>
      <c r="BG14" s="117"/>
      <c r="BH14" s="116"/>
      <c r="BI14" s="97" t="str">
        <f>IF(OR(ISBLANK(F14),ISBLANK(H14)),"N/A",IF(ABS((H14-F14)/F14)&gt;1,"&gt; 100%","ok"))</f>
        <v>N/A</v>
      </c>
      <c r="BJ14" s="115"/>
      <c r="BK14" s="97" t="str">
        <f>IF(OR(ISBLANK(H14),ISBLANK(J14)),"N/A",IF(ABS((J14-H14)/H14)&gt;0.25,"&gt; 25%","ok"))</f>
        <v>N/A</v>
      </c>
      <c r="BL14" s="116"/>
      <c r="BM14" s="97" t="str">
        <f>IF(OR(ISBLANK(J14),ISBLANK(L14)),"N/A",IF(ABS((L14-J14)/J14)&gt;0.25,"&gt; 25%","ok"))</f>
        <v>N/A</v>
      </c>
      <c r="BN14" s="116"/>
      <c r="BO14" s="97" t="str">
        <f>IF(OR(ISBLANK(L14),ISBLANK(N14)),"N/A",IF(ABS((N14-L14)/L14)&gt;0.25,"&gt; 25%","ok"))</f>
        <v>N/A</v>
      </c>
      <c r="BP14" s="116"/>
      <c r="BQ14" s="97" t="str">
        <f>IF(OR(ISBLANK(N14),ISBLANK(P14)),"N/A",IF(ABS((P14-N14)/N14)&gt;0.25,"&gt; 25%","ok"))</f>
        <v>N/A</v>
      </c>
      <c r="BR14" s="116"/>
      <c r="BS14" s="97" t="str">
        <f>IF(OR(ISBLANK(P14),ISBLANK(R14)),"N/A",IF(ABS((R14-P14)/P14)&gt;0.25,"&gt; 25%","ok"))</f>
        <v>N/A</v>
      </c>
      <c r="BT14" s="116"/>
      <c r="BU14" s="97" t="str">
        <f>IF(OR(ISBLANK(R14),ISBLANK(T14)),"N/A",IF(ABS((T14-R14)/R14)&gt;0.25,"&gt; 25%","ok"))</f>
        <v>N/A</v>
      </c>
      <c r="BV14" s="115"/>
      <c r="BW14" s="97" t="str">
        <f>IF(OR(ISBLANK(T14),ISBLANK(V14)),"N/A",IF(ABS((V14-T14)/T14)&gt;0.25,"&gt; 25%","ok"))</f>
        <v>N/A</v>
      </c>
      <c r="BX14" s="82"/>
      <c r="BY14" s="97" t="str">
        <f>IF(OR(ISBLANK(V14),ISBLANK(X14)),"N/A",IF(ABS((X14-V14)/V14)&gt;0.25,"&gt; 25%","ok"))</f>
        <v>N/A</v>
      </c>
      <c r="BZ14" s="117"/>
      <c r="CA14" s="97" t="str">
        <f>IF(OR(ISBLANK(X14),ISBLANK(Z14)),"N/A",IF(ABS((Z14-X14)/X14)&gt;0.25,"&gt; 25%","ok"))</f>
        <v>N/A</v>
      </c>
      <c r="CB14" s="115"/>
      <c r="CC14" s="97" t="str">
        <f>IF(OR(ISBLANK(Z14),ISBLANK(AB14)),"N/A",IF(ABS((AB14-Z14)/Z14)&gt;0.25,"&gt; 25%","ok"))</f>
        <v>N/A</v>
      </c>
      <c r="CD14" s="82"/>
      <c r="CE14" s="97" t="str">
        <f>IF(OR(ISBLANK(AB14),ISBLANK(AD14)),"N/A",IF(ABS((AD14-AB14)/AB14)&gt;0.25,"&gt; 25%","ok"))</f>
        <v>N/A</v>
      </c>
      <c r="CF14" s="116"/>
      <c r="CG14" s="97" t="str">
        <f>IF(OR(ISBLANK(AD14),ISBLANK(AF14)),"N/A",IF(ABS((AF14-AD14)/AD14)&gt;0.25,"&gt; 25%","ok"))</f>
        <v>N/A</v>
      </c>
      <c r="CH14" s="115"/>
      <c r="CI14" s="97" t="str">
        <f>IF(OR(ISBLANK(AF14),ISBLANK(AH14)),"N/A",IF(ABS((AH14-AF14)/AF14)&gt;0.25,"&gt; 25%","ok"))</f>
        <v>N/A</v>
      </c>
      <c r="CJ14" s="117"/>
      <c r="CK14" s="97" t="str">
        <f>IF(OR(ISBLANK(AH14),ISBLANK(AJ14)),"N/A",IF(ABS((AJ14-AH14)/AH14)&gt;0.25,"&gt; 25%","ok"))</f>
        <v>N/A</v>
      </c>
      <c r="CL14" s="115"/>
      <c r="CM14" s="97" t="str">
        <f>IF(OR(ISBLANK(AJ14),ISBLANK(AL14)),"N/A",IF(ABS((AL14-AJ14)/AJ14)&gt;0.25,"&gt; 25%","ok"))</f>
        <v>N/A</v>
      </c>
      <c r="CN14" s="82"/>
      <c r="CO14" s="97" t="str">
        <f>IF(OR(ISBLANK(AL14),ISBLANK(AN14)),"N/A",IF(ABS((AN14-AL14)/AL14)&gt;0.25,"&gt; 25%","ok"))</f>
        <v>N/A</v>
      </c>
      <c r="CP14" s="82"/>
      <c r="CQ14" s="97" t="str">
        <f>IF(OR(ISBLANK(AN14),ISBLANK(AP14)),"N/A",IF(ABS((AP14-AN14)/AN14)&gt;0.25,"&gt; 25%","ok"))</f>
        <v>N/A</v>
      </c>
      <c r="CR14" s="82"/>
      <c r="CS14" s="97" t="str">
        <f>IF(OR(ISBLANK(AP14),ISBLANK(AR14)),"N/A",IF(ABS((AR14-AP14)/AP14)&gt;0.25,"&gt; 25%","ok"))</f>
        <v>N/A</v>
      </c>
      <c r="CT14" s="117"/>
      <c r="CU14" s="97" t="str">
        <f>IF(OR(ISBLANK(AR14),ISBLANK(AT14)),"N/A",IF(ABS((AT14-AR14)/AR14)&gt;0.25,"&gt; 25%","ok"))</f>
        <v>N/A</v>
      </c>
      <c r="CV14" s="82"/>
      <c r="CW14" s="97" t="str">
        <f>IF(OR(ISBLANK(AT14),ISBLANK(AV14)),"N/A",IF(ABS((AV14-AT14)/AT14)&gt;0.25,"&gt; 25%","ok"))</f>
        <v>N/A</v>
      </c>
      <c r="CX14" s="117"/>
      <c r="CY14" s="97" t="str">
        <f>IF(OR(ISBLANK(AV14),ISBLANK(AX14)),"N/A",IF(ABS((AX14-AV14)/AV14)&gt;0.25,"&gt; 25%","ok"))</f>
        <v>N/A</v>
      </c>
      <c r="CZ14" s="82"/>
      <c r="DA14" s="97" t="str">
        <f>IF(OR(ISBLANK(AX14),ISBLANK(AZ14)),"N/A",IF(ABS((AZ14-AX14)/AX14)&gt;0.25,"&gt; 25%","ok"))</f>
        <v>N/A</v>
      </c>
      <c r="DB14" s="209"/>
      <c r="DC14" s="285"/>
    </row>
    <row r="15" spans="2:107" ht="18.75" customHeight="1">
      <c r="B15" s="237">
        <v>146</v>
      </c>
      <c r="C15" s="255">
        <v>8</v>
      </c>
      <c r="D15" s="446" t="s">
        <v>332</v>
      </c>
      <c r="E15" s="255" t="s">
        <v>314</v>
      </c>
      <c r="F15" s="602"/>
      <c r="G15" s="585"/>
      <c r="H15" s="602"/>
      <c r="I15" s="585"/>
      <c r="J15" s="602"/>
      <c r="K15" s="585"/>
      <c r="L15" s="602"/>
      <c r="M15" s="585"/>
      <c r="N15" s="602"/>
      <c r="O15" s="585"/>
      <c r="P15" s="602"/>
      <c r="Q15" s="585"/>
      <c r="R15" s="602"/>
      <c r="S15" s="585"/>
      <c r="T15" s="602"/>
      <c r="U15" s="585"/>
      <c r="V15" s="602"/>
      <c r="W15" s="585"/>
      <c r="X15" s="602"/>
      <c r="Y15" s="585"/>
      <c r="Z15" s="602"/>
      <c r="AA15" s="585"/>
      <c r="AB15" s="602"/>
      <c r="AC15" s="585"/>
      <c r="AD15" s="602"/>
      <c r="AE15" s="585"/>
      <c r="AF15" s="602"/>
      <c r="AG15" s="585"/>
      <c r="AH15" s="602"/>
      <c r="AI15" s="585"/>
      <c r="AJ15" s="602"/>
      <c r="AK15" s="585"/>
      <c r="AL15" s="602"/>
      <c r="AM15" s="585"/>
      <c r="AN15" s="602"/>
      <c r="AO15" s="585"/>
      <c r="AP15" s="602"/>
      <c r="AQ15" s="585"/>
      <c r="AR15" s="602"/>
      <c r="AS15" s="585"/>
      <c r="AT15" s="602"/>
      <c r="AU15" s="585"/>
      <c r="AV15" s="602"/>
      <c r="AW15" s="585"/>
      <c r="AX15" s="602"/>
      <c r="AY15" s="585"/>
      <c r="AZ15" s="602"/>
      <c r="BA15" s="585"/>
      <c r="BD15" s="82">
        <v>8</v>
      </c>
      <c r="BE15" s="449" t="s">
        <v>332</v>
      </c>
      <c r="BF15" s="82" t="s">
        <v>608</v>
      </c>
      <c r="BG15" s="117" t="s">
        <v>85</v>
      </c>
      <c r="BH15" s="116"/>
      <c r="BI15" s="97" t="str">
        <f t="shared" si="22"/>
        <v>N/A</v>
      </c>
      <c r="BJ15" s="115"/>
      <c r="BK15" s="97" t="str">
        <f t="shared" si="0"/>
        <v>N/A</v>
      </c>
      <c r="BL15" s="116"/>
      <c r="BM15" s="97" t="str">
        <f t="shared" si="1"/>
        <v>N/A</v>
      </c>
      <c r="BN15" s="116"/>
      <c r="BO15" s="97" t="str">
        <f t="shared" si="2"/>
        <v>N/A</v>
      </c>
      <c r="BP15" s="116"/>
      <c r="BQ15" s="97" t="str">
        <f t="shared" si="3"/>
        <v>N/A</v>
      </c>
      <c r="BR15" s="116"/>
      <c r="BS15" s="97" t="str">
        <f t="shared" si="4"/>
        <v>N/A</v>
      </c>
      <c r="BT15" s="116"/>
      <c r="BU15" s="97" t="str">
        <f t="shared" si="5"/>
        <v>N/A</v>
      </c>
      <c r="BV15" s="115"/>
      <c r="BW15" s="97" t="str">
        <f t="shared" si="6"/>
        <v>N/A</v>
      </c>
      <c r="BX15" s="82"/>
      <c r="BY15" s="97" t="str">
        <f t="shared" si="7"/>
        <v>N/A</v>
      </c>
      <c r="BZ15" s="117"/>
      <c r="CA15" s="97" t="str">
        <f t="shared" si="8"/>
        <v>N/A</v>
      </c>
      <c r="CB15" s="115"/>
      <c r="CC15" s="97" t="str">
        <f t="shared" si="9"/>
        <v>N/A</v>
      </c>
      <c r="CD15" s="82"/>
      <c r="CE15" s="97" t="str">
        <f t="shared" si="10"/>
        <v>N/A</v>
      </c>
      <c r="CF15" s="116"/>
      <c r="CG15" s="97" t="str">
        <f t="shared" si="11"/>
        <v>N/A</v>
      </c>
      <c r="CH15" s="115"/>
      <c r="CI15" s="97" t="str">
        <f t="shared" si="12"/>
        <v>N/A</v>
      </c>
      <c r="CJ15" s="117"/>
      <c r="CK15" s="97" t="str">
        <f t="shared" si="13"/>
        <v>N/A</v>
      </c>
      <c r="CL15" s="115"/>
      <c r="CM15" s="97" t="str">
        <f t="shared" si="14"/>
        <v>N/A</v>
      </c>
      <c r="CN15" s="82"/>
      <c r="CO15" s="97" t="str">
        <f t="shared" si="15"/>
        <v>N/A</v>
      </c>
      <c r="CP15" s="82"/>
      <c r="CQ15" s="97" t="str">
        <f t="shared" si="16"/>
        <v>N/A</v>
      </c>
      <c r="CR15" s="82"/>
      <c r="CS15" s="97" t="str">
        <f t="shared" si="17"/>
        <v>N/A</v>
      </c>
      <c r="CT15" s="117"/>
      <c r="CU15" s="97" t="str">
        <f t="shared" si="18"/>
        <v>N/A</v>
      </c>
      <c r="CV15" s="82"/>
      <c r="CW15" s="97" t="str">
        <f t="shared" si="19"/>
        <v>N/A</v>
      </c>
      <c r="CX15" s="117"/>
      <c r="CY15" s="97" t="str">
        <f t="shared" si="20"/>
        <v>N/A</v>
      </c>
      <c r="CZ15" s="82"/>
      <c r="DA15" s="97" t="str">
        <f t="shared" si="21"/>
        <v>N/A</v>
      </c>
      <c r="DB15" s="209"/>
      <c r="DC15" s="285"/>
    </row>
    <row r="16" spans="2:107" ht="18.75" customHeight="1">
      <c r="B16" s="237">
        <v>159</v>
      </c>
      <c r="C16" s="255">
        <v>9</v>
      </c>
      <c r="D16" s="446" t="s">
        <v>331</v>
      </c>
      <c r="E16" s="255" t="s">
        <v>314</v>
      </c>
      <c r="F16" s="602"/>
      <c r="G16" s="585"/>
      <c r="H16" s="602"/>
      <c r="I16" s="585"/>
      <c r="J16" s="602"/>
      <c r="K16" s="585"/>
      <c r="L16" s="602"/>
      <c r="M16" s="585"/>
      <c r="N16" s="602"/>
      <c r="O16" s="585"/>
      <c r="P16" s="602"/>
      <c r="Q16" s="585"/>
      <c r="R16" s="602"/>
      <c r="S16" s="585"/>
      <c r="T16" s="602"/>
      <c r="U16" s="585"/>
      <c r="V16" s="602"/>
      <c r="W16" s="585"/>
      <c r="X16" s="602"/>
      <c r="Y16" s="585"/>
      <c r="Z16" s="602"/>
      <c r="AA16" s="585"/>
      <c r="AB16" s="602"/>
      <c r="AC16" s="585"/>
      <c r="AD16" s="602"/>
      <c r="AE16" s="585"/>
      <c r="AF16" s="602"/>
      <c r="AG16" s="585"/>
      <c r="AH16" s="602"/>
      <c r="AI16" s="585"/>
      <c r="AJ16" s="602"/>
      <c r="AK16" s="585"/>
      <c r="AL16" s="602"/>
      <c r="AM16" s="585"/>
      <c r="AN16" s="602"/>
      <c r="AO16" s="585"/>
      <c r="AP16" s="602"/>
      <c r="AQ16" s="585"/>
      <c r="AR16" s="602"/>
      <c r="AS16" s="585"/>
      <c r="AT16" s="602"/>
      <c r="AU16" s="585"/>
      <c r="AV16" s="602"/>
      <c r="AW16" s="585"/>
      <c r="AX16" s="602"/>
      <c r="AY16" s="585"/>
      <c r="AZ16" s="602"/>
      <c r="BA16" s="585"/>
      <c r="BD16" s="82">
        <v>9</v>
      </c>
      <c r="BE16" s="449" t="s">
        <v>331</v>
      </c>
      <c r="BF16" s="82" t="s">
        <v>608</v>
      </c>
      <c r="BG16" s="117" t="s">
        <v>85</v>
      </c>
      <c r="BH16" s="116"/>
      <c r="BI16" s="97" t="str">
        <f t="shared" si="22"/>
        <v>N/A</v>
      </c>
      <c r="BJ16" s="115"/>
      <c r="BK16" s="97" t="str">
        <f t="shared" si="0"/>
        <v>N/A</v>
      </c>
      <c r="BL16" s="116"/>
      <c r="BM16" s="97" t="str">
        <f t="shared" si="1"/>
        <v>N/A</v>
      </c>
      <c r="BN16" s="116"/>
      <c r="BO16" s="97" t="str">
        <f t="shared" si="2"/>
        <v>N/A</v>
      </c>
      <c r="BP16" s="116"/>
      <c r="BQ16" s="97" t="str">
        <f t="shared" si="3"/>
        <v>N/A</v>
      </c>
      <c r="BR16" s="116"/>
      <c r="BS16" s="97" t="str">
        <f t="shared" si="4"/>
        <v>N/A</v>
      </c>
      <c r="BT16" s="116"/>
      <c r="BU16" s="97" t="str">
        <f t="shared" si="5"/>
        <v>N/A</v>
      </c>
      <c r="BV16" s="115"/>
      <c r="BW16" s="97" t="str">
        <f t="shared" si="6"/>
        <v>N/A</v>
      </c>
      <c r="BX16" s="82"/>
      <c r="BY16" s="97" t="str">
        <f t="shared" si="7"/>
        <v>N/A</v>
      </c>
      <c r="BZ16" s="115"/>
      <c r="CA16" s="97" t="str">
        <f t="shared" si="8"/>
        <v>N/A</v>
      </c>
      <c r="CB16" s="82"/>
      <c r="CC16" s="97" t="str">
        <f t="shared" si="9"/>
        <v>N/A</v>
      </c>
      <c r="CD16" s="116"/>
      <c r="CE16" s="97" t="str">
        <f t="shared" si="10"/>
        <v>N/A</v>
      </c>
      <c r="CF16" s="115"/>
      <c r="CG16" s="97" t="str">
        <f t="shared" si="11"/>
        <v>N/A</v>
      </c>
      <c r="CH16" s="82"/>
      <c r="CI16" s="97" t="str">
        <f t="shared" si="12"/>
        <v>N/A</v>
      </c>
      <c r="CJ16" s="116"/>
      <c r="CK16" s="97" t="str">
        <f t="shared" si="13"/>
        <v>N/A</v>
      </c>
      <c r="CL16" s="82"/>
      <c r="CM16" s="97" t="str">
        <f t="shared" si="14"/>
        <v>N/A</v>
      </c>
      <c r="CN16" s="82"/>
      <c r="CO16" s="97" t="str">
        <f t="shared" si="15"/>
        <v>N/A</v>
      </c>
      <c r="CP16" s="115"/>
      <c r="CQ16" s="97" t="str">
        <f t="shared" si="16"/>
        <v>N/A</v>
      </c>
      <c r="CR16" s="115"/>
      <c r="CS16" s="97" t="str">
        <f t="shared" si="17"/>
        <v>N/A</v>
      </c>
      <c r="CT16" s="82"/>
      <c r="CU16" s="97" t="str">
        <f t="shared" si="18"/>
        <v>N/A</v>
      </c>
      <c r="CV16" s="116"/>
      <c r="CW16" s="97" t="str">
        <f t="shared" si="19"/>
        <v>N/A</v>
      </c>
      <c r="CX16" s="82"/>
      <c r="CY16" s="97" t="str">
        <f t="shared" si="20"/>
        <v>N/A</v>
      </c>
      <c r="CZ16" s="116"/>
      <c r="DA16" s="97" t="str">
        <f t="shared" si="21"/>
        <v>N/A</v>
      </c>
      <c r="DB16" s="209"/>
      <c r="DC16" s="285"/>
    </row>
    <row r="17" spans="2:107" ht="27" customHeight="1">
      <c r="B17" s="237">
        <v>89</v>
      </c>
      <c r="C17" s="255">
        <v>10</v>
      </c>
      <c r="D17" s="252" t="s">
        <v>126</v>
      </c>
      <c r="E17" s="255" t="s">
        <v>314</v>
      </c>
      <c r="F17" s="602"/>
      <c r="G17" s="585"/>
      <c r="H17" s="602"/>
      <c r="I17" s="585"/>
      <c r="J17" s="602"/>
      <c r="K17" s="585"/>
      <c r="L17" s="602"/>
      <c r="M17" s="585"/>
      <c r="N17" s="602"/>
      <c r="O17" s="585"/>
      <c r="P17" s="602"/>
      <c r="Q17" s="585"/>
      <c r="R17" s="602"/>
      <c r="S17" s="585"/>
      <c r="T17" s="602"/>
      <c r="U17" s="585"/>
      <c r="V17" s="602"/>
      <c r="W17" s="585"/>
      <c r="X17" s="602"/>
      <c r="Y17" s="585"/>
      <c r="Z17" s="602"/>
      <c r="AA17" s="585"/>
      <c r="AB17" s="602"/>
      <c r="AC17" s="585"/>
      <c r="AD17" s="602"/>
      <c r="AE17" s="585"/>
      <c r="AF17" s="602"/>
      <c r="AG17" s="585"/>
      <c r="AH17" s="602"/>
      <c r="AI17" s="585"/>
      <c r="AJ17" s="602"/>
      <c r="AK17" s="585"/>
      <c r="AL17" s="602"/>
      <c r="AM17" s="585"/>
      <c r="AN17" s="602"/>
      <c r="AO17" s="585"/>
      <c r="AP17" s="602"/>
      <c r="AQ17" s="585"/>
      <c r="AR17" s="602"/>
      <c r="AS17" s="585"/>
      <c r="AT17" s="602"/>
      <c r="AU17" s="585"/>
      <c r="AV17" s="602"/>
      <c r="AW17" s="585"/>
      <c r="AX17" s="602"/>
      <c r="AY17" s="585"/>
      <c r="AZ17" s="602"/>
      <c r="BA17" s="585"/>
      <c r="BD17" s="82">
        <v>10</v>
      </c>
      <c r="BE17" s="248" t="s">
        <v>126</v>
      </c>
      <c r="BF17" s="82" t="s">
        <v>608</v>
      </c>
      <c r="BG17" s="117" t="s">
        <v>85</v>
      </c>
      <c r="BH17" s="116"/>
      <c r="BI17" s="97" t="str">
        <f t="shared" si="22"/>
        <v>N/A</v>
      </c>
      <c r="BJ17" s="115"/>
      <c r="BK17" s="97" t="str">
        <f>IF(OR(ISBLANK(H17),ISBLANK(J17)),"N/A",IF(ABS((J17-H17)/H17)&gt;0.25,"&gt; 25%","ok"))</f>
        <v>N/A</v>
      </c>
      <c r="BL17" s="116"/>
      <c r="BM17" s="97" t="str">
        <f t="shared" si="1"/>
        <v>N/A</v>
      </c>
      <c r="BN17" s="116"/>
      <c r="BO17" s="97" t="str">
        <f t="shared" si="2"/>
        <v>N/A</v>
      </c>
      <c r="BP17" s="116"/>
      <c r="BQ17" s="97" t="str">
        <f t="shared" si="3"/>
        <v>N/A</v>
      </c>
      <c r="BR17" s="116"/>
      <c r="BS17" s="97" t="str">
        <f t="shared" si="4"/>
        <v>N/A</v>
      </c>
      <c r="BT17" s="116"/>
      <c r="BU17" s="97" t="str">
        <f t="shared" si="5"/>
        <v>N/A</v>
      </c>
      <c r="BV17" s="115"/>
      <c r="BW17" s="97" t="str">
        <f t="shared" si="6"/>
        <v>N/A</v>
      </c>
      <c r="BX17" s="82"/>
      <c r="BY17" s="97" t="str">
        <f t="shared" si="7"/>
        <v>N/A</v>
      </c>
      <c r="BZ17" s="115"/>
      <c r="CA17" s="97" t="str">
        <f t="shared" si="8"/>
        <v>N/A</v>
      </c>
      <c r="CB17" s="82"/>
      <c r="CC17" s="97" t="str">
        <f t="shared" si="9"/>
        <v>N/A</v>
      </c>
      <c r="CD17" s="116"/>
      <c r="CE17" s="97" t="str">
        <f t="shared" si="10"/>
        <v>N/A</v>
      </c>
      <c r="CF17" s="115"/>
      <c r="CG17" s="97" t="str">
        <f t="shared" si="11"/>
        <v>N/A</v>
      </c>
      <c r="CH17" s="82"/>
      <c r="CI17" s="97" t="str">
        <f t="shared" si="12"/>
        <v>N/A</v>
      </c>
      <c r="CJ17" s="116"/>
      <c r="CK17" s="97" t="str">
        <f t="shared" si="13"/>
        <v>N/A</v>
      </c>
      <c r="CL17" s="82"/>
      <c r="CM17" s="97" t="str">
        <f t="shared" si="14"/>
        <v>N/A</v>
      </c>
      <c r="CN17" s="82"/>
      <c r="CO17" s="97" t="str">
        <f t="shared" si="15"/>
        <v>N/A</v>
      </c>
      <c r="CP17" s="115"/>
      <c r="CQ17" s="97" t="str">
        <f t="shared" si="16"/>
        <v>N/A</v>
      </c>
      <c r="CR17" s="115"/>
      <c r="CS17" s="97" t="str">
        <f t="shared" si="17"/>
        <v>N/A</v>
      </c>
      <c r="CT17" s="82"/>
      <c r="CU17" s="97" t="str">
        <f t="shared" si="18"/>
        <v>N/A</v>
      </c>
      <c r="CV17" s="116"/>
      <c r="CW17" s="97" t="str">
        <f t="shared" si="19"/>
        <v>N/A</v>
      </c>
      <c r="CX17" s="82"/>
      <c r="CY17" s="97" t="str">
        <f t="shared" si="20"/>
        <v>N/A</v>
      </c>
      <c r="CZ17" s="116"/>
      <c r="DA17" s="97" t="str">
        <f t="shared" si="21"/>
        <v>N/A</v>
      </c>
      <c r="DB17" s="209"/>
      <c r="DC17" s="285"/>
    </row>
    <row r="18" spans="2:107" ht="27" customHeight="1">
      <c r="B18" s="237">
        <v>94</v>
      </c>
      <c r="C18" s="255">
        <v>11</v>
      </c>
      <c r="D18" s="489" t="s">
        <v>464</v>
      </c>
      <c r="E18" s="255" t="s">
        <v>314</v>
      </c>
      <c r="F18" s="602"/>
      <c r="G18" s="585"/>
      <c r="H18" s="602"/>
      <c r="I18" s="585"/>
      <c r="J18" s="602"/>
      <c r="K18" s="585"/>
      <c r="L18" s="602"/>
      <c r="M18" s="585"/>
      <c r="N18" s="602"/>
      <c r="O18" s="585"/>
      <c r="P18" s="602"/>
      <c r="Q18" s="585"/>
      <c r="R18" s="602"/>
      <c r="S18" s="585"/>
      <c r="T18" s="602"/>
      <c r="U18" s="585"/>
      <c r="V18" s="602"/>
      <c r="W18" s="585"/>
      <c r="X18" s="602"/>
      <c r="Y18" s="585"/>
      <c r="Z18" s="602"/>
      <c r="AA18" s="585"/>
      <c r="AB18" s="602"/>
      <c r="AC18" s="585"/>
      <c r="AD18" s="602"/>
      <c r="AE18" s="585"/>
      <c r="AF18" s="602"/>
      <c r="AG18" s="585"/>
      <c r="AH18" s="602"/>
      <c r="AI18" s="585"/>
      <c r="AJ18" s="602"/>
      <c r="AK18" s="585"/>
      <c r="AL18" s="602"/>
      <c r="AM18" s="585"/>
      <c r="AN18" s="602"/>
      <c r="AO18" s="585"/>
      <c r="AP18" s="602"/>
      <c r="AQ18" s="585"/>
      <c r="AR18" s="602"/>
      <c r="AS18" s="585"/>
      <c r="AT18" s="602"/>
      <c r="AU18" s="585"/>
      <c r="AV18" s="602"/>
      <c r="AW18" s="585"/>
      <c r="AX18" s="602"/>
      <c r="AY18" s="585"/>
      <c r="AZ18" s="602"/>
      <c r="BA18" s="585"/>
      <c r="BD18" s="82">
        <v>11</v>
      </c>
      <c r="BE18" s="449" t="s">
        <v>610</v>
      </c>
      <c r="BF18" s="82" t="s">
        <v>608</v>
      </c>
      <c r="BG18" s="117" t="s">
        <v>85</v>
      </c>
      <c r="BH18" s="116"/>
      <c r="BI18" s="97" t="str">
        <f t="shared" si="22"/>
        <v>N/A</v>
      </c>
      <c r="BJ18" s="115"/>
      <c r="BK18" s="97" t="str">
        <f t="shared" si="0"/>
        <v>N/A</v>
      </c>
      <c r="BL18" s="116"/>
      <c r="BM18" s="97" t="str">
        <f t="shared" si="1"/>
        <v>N/A</v>
      </c>
      <c r="BN18" s="116"/>
      <c r="BO18" s="97" t="str">
        <f t="shared" si="2"/>
        <v>N/A</v>
      </c>
      <c r="BP18" s="116"/>
      <c r="BQ18" s="97" t="str">
        <f t="shared" si="3"/>
        <v>N/A</v>
      </c>
      <c r="BR18" s="116"/>
      <c r="BS18" s="97" t="str">
        <f>IF(OR(ISBLANK(P18),ISBLANK(R18)),"N/A",IF(ABS((R18-P18)/P18)&gt;0.25,"&gt; 25%","ok"))</f>
        <v>N/A</v>
      </c>
      <c r="BT18" s="116"/>
      <c r="BU18" s="97" t="str">
        <f>IF(OR(ISBLANK(R18),ISBLANK(T18)),"N/A",IF(ABS((T18-R18)/R18)&gt;0.25,"&gt; 25%","ok"))</f>
        <v>N/A</v>
      </c>
      <c r="BV18" s="115"/>
      <c r="BW18" s="97" t="str">
        <f>IF(OR(ISBLANK(T18),ISBLANK(V18)),"N/A",IF(ABS((V18-T18)/T18)&gt;0.25,"&gt; 25%","ok"))</f>
        <v>N/A</v>
      </c>
      <c r="BX18" s="82"/>
      <c r="BY18" s="97" t="str">
        <f>IF(OR(ISBLANK(V18),ISBLANK(X18)),"N/A",IF(ABS((X18-V18)/V18)&gt;0.25,"&gt; 25%","ok"))</f>
        <v>N/A</v>
      </c>
      <c r="BZ18" s="115"/>
      <c r="CA18" s="97" t="str">
        <f>IF(OR(ISBLANK(X18),ISBLANK(Z18)),"N/A",IF(ABS((Z18-X18)/X18)&gt;0.25,"&gt; 25%","ok"))</f>
        <v>N/A</v>
      </c>
      <c r="CB18" s="82"/>
      <c r="CC18" s="97" t="str">
        <f>IF(OR(ISBLANK(Z18),ISBLANK(AB18)),"N/A",IF(ABS((AB18-Z18)/Z18)&gt;0.25,"&gt; 25%","ok"))</f>
        <v>N/A</v>
      </c>
      <c r="CD18" s="116"/>
      <c r="CE18" s="97" t="str">
        <f>IF(OR(ISBLANK(AB18),ISBLANK(AD18)),"N/A",IF(ABS((AD18-AB18)/AB18)&gt;0.25,"&gt; 25%","ok"))</f>
        <v>N/A</v>
      </c>
      <c r="CF18" s="115"/>
      <c r="CG18" s="97" t="str">
        <f>IF(OR(ISBLANK(AD18),ISBLANK(AF18)),"N/A",IF(ABS((AF18-AD18)/AD18)&gt;0.25,"&gt; 25%","ok"))</f>
        <v>N/A</v>
      </c>
      <c r="CH18" s="82"/>
      <c r="CI18" s="97" t="str">
        <f>IF(OR(ISBLANK(AF18),ISBLANK(AH18)),"N/A",IF(ABS((AH18-AF18)/AF18)&gt;0.25,"&gt; 25%","ok"))</f>
        <v>N/A</v>
      </c>
      <c r="CJ18" s="116"/>
      <c r="CK18" s="97" t="str">
        <f>IF(OR(ISBLANK(AH18),ISBLANK(AJ18)),"N/A",IF(ABS((AJ18-AH18)/AH18)&gt;0.25,"&gt; 25%","ok"))</f>
        <v>N/A</v>
      </c>
      <c r="CL18" s="82"/>
      <c r="CM18" s="97" t="str">
        <f>IF(OR(ISBLANK(AJ18),ISBLANK(AL18)),"N/A",IF(ABS((AL18-AJ18)/AJ18)&gt;0.25,"&gt; 25%","ok"))</f>
        <v>N/A</v>
      </c>
      <c r="CN18" s="82"/>
      <c r="CO18" s="97" t="str">
        <f>IF(OR(ISBLANK(AL18),ISBLANK(AN18)),"N/A",IF(ABS((AN18-AL18)/AL18)&gt;0.25,"&gt; 25%","ok"))</f>
        <v>N/A</v>
      </c>
      <c r="CP18" s="115"/>
      <c r="CQ18" s="97" t="str">
        <f>IF(OR(ISBLANK(AN18),ISBLANK(AP18)),"N/A",IF(ABS((AP18-AN18)/AN18)&gt;0.25,"&gt; 25%","ok"))</f>
        <v>N/A</v>
      </c>
      <c r="CR18" s="115"/>
      <c r="CS18" s="97" t="str">
        <f>IF(OR(ISBLANK(AP18),ISBLANK(AR18)),"N/A",IF(ABS((AR18-AP18)/AP18)&gt;0.25,"&gt; 25%","ok"))</f>
        <v>N/A</v>
      </c>
      <c r="CT18" s="82"/>
      <c r="CU18" s="97" t="str">
        <f>IF(OR(ISBLANK(AR18),ISBLANK(AT18)),"N/A",IF(ABS((AT18-AR18)/AR18)&gt;0.25,"&gt; 25%","ok"))</f>
        <v>N/A</v>
      </c>
      <c r="CV18" s="116"/>
      <c r="CW18" s="97" t="str">
        <f>IF(OR(ISBLANK(AT18),ISBLANK(AV18)),"N/A",IF(ABS((AV18-AT18)/AT18)&gt;0.25,"&gt; 25%","ok"))</f>
        <v>N/A</v>
      </c>
      <c r="CX18" s="82"/>
      <c r="CY18" s="97" t="str">
        <f>IF(OR(ISBLANK(AV18),ISBLANK(AX18)),"N/A",IF(ABS((AX18-AV18)/AV18)&gt;0.25,"&gt; 25%","ok"))</f>
        <v>N/A</v>
      </c>
      <c r="CZ18" s="116"/>
      <c r="DA18" s="97" t="str">
        <f t="shared" si="21"/>
        <v>N/A</v>
      </c>
      <c r="DB18" s="209"/>
      <c r="DC18" s="285"/>
    </row>
    <row r="19" spans="2:107" ht="18.75" customHeight="1">
      <c r="B19" s="237">
        <v>98</v>
      </c>
      <c r="C19" s="255">
        <v>12</v>
      </c>
      <c r="D19" s="446" t="s">
        <v>92</v>
      </c>
      <c r="E19" s="255" t="s">
        <v>314</v>
      </c>
      <c r="F19" s="602"/>
      <c r="G19" s="585"/>
      <c r="H19" s="602"/>
      <c r="I19" s="585"/>
      <c r="J19" s="602"/>
      <c r="K19" s="585"/>
      <c r="L19" s="602"/>
      <c r="M19" s="585"/>
      <c r="N19" s="602"/>
      <c r="O19" s="585"/>
      <c r="P19" s="602"/>
      <c r="Q19" s="585"/>
      <c r="R19" s="602"/>
      <c r="S19" s="585"/>
      <c r="T19" s="602"/>
      <c r="U19" s="585"/>
      <c r="V19" s="602"/>
      <c r="W19" s="585"/>
      <c r="X19" s="602"/>
      <c r="Y19" s="585"/>
      <c r="Z19" s="602"/>
      <c r="AA19" s="585"/>
      <c r="AB19" s="602"/>
      <c r="AC19" s="585"/>
      <c r="AD19" s="602"/>
      <c r="AE19" s="585"/>
      <c r="AF19" s="602"/>
      <c r="AG19" s="585"/>
      <c r="AH19" s="602"/>
      <c r="AI19" s="585"/>
      <c r="AJ19" s="602"/>
      <c r="AK19" s="585"/>
      <c r="AL19" s="602"/>
      <c r="AM19" s="585"/>
      <c r="AN19" s="602"/>
      <c r="AO19" s="585"/>
      <c r="AP19" s="602"/>
      <c r="AQ19" s="585"/>
      <c r="AR19" s="602"/>
      <c r="AS19" s="585"/>
      <c r="AT19" s="602"/>
      <c r="AU19" s="585"/>
      <c r="AV19" s="602"/>
      <c r="AW19" s="585"/>
      <c r="AX19" s="602"/>
      <c r="AY19" s="585"/>
      <c r="AZ19" s="602"/>
      <c r="BA19" s="585"/>
      <c r="BD19" s="82">
        <v>12</v>
      </c>
      <c r="BE19" s="449" t="s">
        <v>92</v>
      </c>
      <c r="BF19" s="82" t="s">
        <v>608</v>
      </c>
      <c r="BG19" s="117" t="s">
        <v>85</v>
      </c>
      <c r="BH19" s="116"/>
      <c r="BI19" s="97" t="str">
        <f t="shared" si="22"/>
        <v>N/A</v>
      </c>
      <c r="BJ19" s="115"/>
      <c r="BK19" s="97" t="str">
        <f t="shared" si="0"/>
        <v>N/A</v>
      </c>
      <c r="BL19" s="116"/>
      <c r="BM19" s="97" t="str">
        <f t="shared" si="1"/>
        <v>N/A</v>
      </c>
      <c r="BN19" s="116"/>
      <c r="BO19" s="97" t="str">
        <f t="shared" si="2"/>
        <v>N/A</v>
      </c>
      <c r="BP19" s="116"/>
      <c r="BQ19" s="97" t="str">
        <f t="shared" si="3"/>
        <v>N/A</v>
      </c>
      <c r="BR19" s="116"/>
      <c r="BS19" s="97" t="str">
        <f>IF(OR(ISBLANK(P19),ISBLANK(R19)),"N/A",IF(ABS((R19-P19)/P19)&gt;0.25,"&gt; 25%","ok"))</f>
        <v>N/A</v>
      </c>
      <c r="BT19" s="116"/>
      <c r="BU19" s="97" t="str">
        <f>IF(OR(ISBLANK(R19),ISBLANK(T19)),"N/A",IF(ABS((T19-R19)/R19)&gt;0.25,"&gt; 25%","ok"))</f>
        <v>N/A</v>
      </c>
      <c r="BV19" s="115"/>
      <c r="BW19" s="97" t="str">
        <f>IF(OR(ISBLANK(T19),ISBLANK(V19)),"N/A",IF(ABS((V19-T19)/T19)&gt;0.25,"&gt; 25%","ok"))</f>
        <v>N/A</v>
      </c>
      <c r="BX19" s="82"/>
      <c r="BY19" s="97" t="str">
        <f>IF(OR(ISBLANK(V19),ISBLANK(X19)),"N/A",IF(ABS((X19-V19)/V19)&gt;0.25,"&gt; 25%","ok"))</f>
        <v>N/A</v>
      </c>
      <c r="BZ19" s="115"/>
      <c r="CA19" s="97" t="str">
        <f>IF(OR(ISBLANK(X19),ISBLANK(Z19)),"N/A",IF(ABS((Z19-X19)/X19)&gt;0.25,"&gt; 25%","ok"))</f>
        <v>N/A</v>
      </c>
      <c r="CB19" s="82"/>
      <c r="CC19" s="97" t="str">
        <f>IF(OR(ISBLANK(Z19),ISBLANK(AB19)),"N/A",IF(ABS((AB19-Z19)/Z19)&gt;0.25,"&gt; 25%","ok"))</f>
        <v>N/A</v>
      </c>
      <c r="CD19" s="116"/>
      <c r="CE19" s="97" t="str">
        <f>IF(OR(ISBLANK(AB19),ISBLANK(AD19)),"N/A",IF(ABS((AD19-AB19)/AB19)&gt;0.25,"&gt; 25%","ok"))</f>
        <v>N/A</v>
      </c>
      <c r="CF19" s="115"/>
      <c r="CG19" s="97" t="str">
        <f>IF(OR(ISBLANK(AD19),ISBLANK(AF19)),"N/A",IF(ABS((AF19-AD19)/AD19)&gt;0.25,"&gt; 25%","ok"))</f>
        <v>N/A</v>
      </c>
      <c r="CH19" s="82"/>
      <c r="CI19" s="97" t="str">
        <f>IF(OR(ISBLANK(AF19),ISBLANK(AH19)),"N/A",IF(ABS((AH19-AF19)/AF19)&gt;0.25,"&gt; 25%","ok"))</f>
        <v>N/A</v>
      </c>
      <c r="CJ19" s="116"/>
      <c r="CK19" s="97" t="str">
        <f>IF(OR(ISBLANK(AH19),ISBLANK(AJ19)),"N/A",IF(ABS((AJ19-AH19)/AH19)&gt;0.25,"&gt; 25%","ok"))</f>
        <v>N/A</v>
      </c>
      <c r="CL19" s="82"/>
      <c r="CM19" s="97" t="str">
        <f>IF(OR(ISBLANK(AJ19),ISBLANK(AL19)),"N/A",IF(ABS((AL19-AJ19)/AJ19)&gt;0.25,"&gt; 25%","ok"))</f>
        <v>N/A</v>
      </c>
      <c r="CN19" s="82"/>
      <c r="CO19" s="97" t="str">
        <f>IF(OR(ISBLANK(AL19),ISBLANK(AN19)),"N/A",IF(ABS((AN19-AL19)/AL19)&gt;0.25,"&gt; 25%","ok"))</f>
        <v>N/A</v>
      </c>
      <c r="CP19" s="115"/>
      <c r="CQ19" s="97" t="str">
        <f>IF(OR(ISBLANK(AN19),ISBLANK(AP19)),"N/A",IF(ABS((AP19-AN19)/AN19)&gt;0.25,"&gt; 25%","ok"))</f>
        <v>N/A</v>
      </c>
      <c r="CR19" s="115"/>
      <c r="CS19" s="97" t="str">
        <f>IF(OR(ISBLANK(AP19),ISBLANK(AR19)),"N/A",IF(ABS((AR19-AP19)/AP19)&gt;0.25,"&gt; 25%","ok"))</f>
        <v>N/A</v>
      </c>
      <c r="CT19" s="82"/>
      <c r="CU19" s="97" t="str">
        <f>IF(OR(ISBLANK(AR19),ISBLANK(AT19)),"N/A",IF(ABS((AT19-AR19)/AR19)&gt;0.25,"&gt; 25%","ok"))</f>
        <v>N/A</v>
      </c>
      <c r="CV19" s="116"/>
      <c r="CW19" s="97" t="str">
        <f>IF(OR(ISBLANK(AT19),ISBLANK(AV19)),"N/A",IF(ABS((AV19-AT19)/AT19)&gt;0.25,"&gt; 25%","ok"))</f>
        <v>N/A</v>
      </c>
      <c r="CX19" s="82"/>
      <c r="CY19" s="97" t="str">
        <f>IF(OR(ISBLANK(AV19),ISBLANK(AX19)),"N/A",IF(ABS((AX19-AV19)/AV19)&gt;0.25,"&gt; 25%","ok"))</f>
        <v>N/A</v>
      </c>
      <c r="CZ19" s="116"/>
      <c r="DA19" s="97" t="str">
        <f t="shared" si="21"/>
        <v>N/A</v>
      </c>
      <c r="DB19" s="209"/>
      <c r="DC19" s="285"/>
    </row>
    <row r="20" spans="2:107" ht="18.75" customHeight="1">
      <c r="B20" s="237">
        <v>102</v>
      </c>
      <c r="C20" s="255">
        <v>13</v>
      </c>
      <c r="D20" s="446" t="s">
        <v>93</v>
      </c>
      <c r="E20" s="255" t="s">
        <v>314</v>
      </c>
      <c r="F20" s="602"/>
      <c r="G20" s="585"/>
      <c r="H20" s="602"/>
      <c r="I20" s="585"/>
      <c r="J20" s="602"/>
      <c r="K20" s="585"/>
      <c r="L20" s="602"/>
      <c r="M20" s="585"/>
      <c r="N20" s="602"/>
      <c r="O20" s="585"/>
      <c r="P20" s="602"/>
      <c r="Q20" s="585"/>
      <c r="R20" s="602"/>
      <c r="S20" s="585"/>
      <c r="T20" s="602"/>
      <c r="U20" s="585"/>
      <c r="V20" s="602"/>
      <c r="W20" s="585"/>
      <c r="X20" s="602"/>
      <c r="Y20" s="585"/>
      <c r="Z20" s="602"/>
      <c r="AA20" s="585"/>
      <c r="AB20" s="602"/>
      <c r="AC20" s="585"/>
      <c r="AD20" s="602"/>
      <c r="AE20" s="585"/>
      <c r="AF20" s="602"/>
      <c r="AG20" s="585"/>
      <c r="AH20" s="602"/>
      <c r="AI20" s="585"/>
      <c r="AJ20" s="602"/>
      <c r="AK20" s="585"/>
      <c r="AL20" s="602"/>
      <c r="AM20" s="585"/>
      <c r="AN20" s="602"/>
      <c r="AO20" s="585"/>
      <c r="AP20" s="602"/>
      <c r="AQ20" s="585"/>
      <c r="AR20" s="602"/>
      <c r="AS20" s="585"/>
      <c r="AT20" s="602"/>
      <c r="AU20" s="585"/>
      <c r="AV20" s="602"/>
      <c r="AW20" s="585"/>
      <c r="AX20" s="602"/>
      <c r="AY20" s="585"/>
      <c r="AZ20" s="602"/>
      <c r="BA20" s="585"/>
      <c r="BD20" s="82">
        <v>13</v>
      </c>
      <c r="BE20" s="449" t="s">
        <v>93</v>
      </c>
      <c r="BF20" s="82" t="s">
        <v>608</v>
      </c>
      <c r="BG20" s="117" t="s">
        <v>85</v>
      </c>
      <c r="BH20" s="116"/>
      <c r="BI20" s="97" t="str">
        <f t="shared" si="22"/>
        <v>N/A</v>
      </c>
      <c r="BJ20" s="115"/>
      <c r="BK20" s="97" t="str">
        <f t="shared" si="0"/>
        <v>N/A</v>
      </c>
      <c r="BL20" s="117"/>
      <c r="BM20" s="97" t="str">
        <f t="shared" si="1"/>
        <v>N/A</v>
      </c>
      <c r="BN20" s="117"/>
      <c r="BO20" s="97" t="str">
        <f t="shared" si="2"/>
        <v>N/A</v>
      </c>
      <c r="BP20" s="117"/>
      <c r="BQ20" s="97" t="str">
        <f t="shared" si="3"/>
        <v>N/A</v>
      </c>
      <c r="BR20" s="117"/>
      <c r="BS20" s="97" t="str">
        <f>IF(OR(ISBLANK(P20),ISBLANK(R20)),"N/A",IF(ABS((R20-P20)/P20)&gt;0.25,"&gt; 25%","ok"))</f>
        <v>N/A</v>
      </c>
      <c r="BT20" s="117"/>
      <c r="BU20" s="97" t="str">
        <f>IF(OR(ISBLANK(R20),ISBLANK(T20)),"N/A",IF(ABS((T20-R20)/R20)&gt;0.25,"&gt; 25%","ok"))</f>
        <v>N/A</v>
      </c>
      <c r="BV20" s="115"/>
      <c r="BW20" s="97" t="str">
        <f>IF(OR(ISBLANK(T20),ISBLANK(V20)),"N/A",IF(ABS((V20-T20)/T20)&gt;0.25,"&gt; 25%","ok"))</f>
        <v>N/A</v>
      </c>
      <c r="BX20" s="82"/>
      <c r="BY20" s="97" t="str">
        <f>IF(OR(ISBLANK(V20),ISBLANK(X20)),"N/A",IF(ABS((X20-V20)/V20)&gt;0.25,"&gt; 25%","ok"))</f>
        <v>N/A</v>
      </c>
      <c r="BZ20" s="115"/>
      <c r="CA20" s="97" t="str">
        <f>IF(OR(ISBLANK(X20),ISBLANK(Z20)),"N/A",IF(ABS((Z20-X20)/X20)&gt;0.25,"&gt; 25%","ok"))</f>
        <v>N/A</v>
      </c>
      <c r="CB20" s="82"/>
      <c r="CC20" s="97" t="str">
        <f>IF(OR(ISBLANK(Z20),ISBLANK(AB20)),"N/A",IF(ABS((AB20-Z20)/Z20)&gt;0.25,"&gt; 25%","ok"))</f>
        <v>N/A</v>
      </c>
      <c r="CD20" s="116"/>
      <c r="CE20" s="97" t="str">
        <f>IF(OR(ISBLANK(AB20),ISBLANK(AD20)),"N/A",IF(ABS((AD20-AB20)/AB20)&gt;0.25,"&gt; 25%","ok"))</f>
        <v>N/A</v>
      </c>
      <c r="CF20" s="115"/>
      <c r="CG20" s="97" t="str">
        <f>IF(OR(ISBLANK(AD20),ISBLANK(AF20)),"N/A",IF(ABS((AF20-AD20)/AD20)&gt;0.25,"&gt; 25%","ok"))</f>
        <v>N/A</v>
      </c>
      <c r="CH20" s="82"/>
      <c r="CI20" s="97" t="str">
        <f>IF(OR(ISBLANK(AF20),ISBLANK(AH20)),"N/A",IF(ABS((AH20-AF20)/AF20)&gt;0.25,"&gt; 25%","ok"))</f>
        <v>N/A</v>
      </c>
      <c r="CJ20" s="116"/>
      <c r="CK20" s="97" t="str">
        <f>IF(OR(ISBLANK(AH20),ISBLANK(AJ20)),"N/A",IF(ABS((AJ20-AH20)/AH20)&gt;0.25,"&gt; 25%","ok"))</f>
        <v>N/A</v>
      </c>
      <c r="CL20" s="82"/>
      <c r="CM20" s="97" t="str">
        <f>IF(OR(ISBLANK(AJ20),ISBLANK(AL20)),"N/A",IF(ABS((AL20-AJ20)/AJ20)&gt;0.25,"&gt; 25%","ok"))</f>
        <v>N/A</v>
      </c>
      <c r="CN20" s="82"/>
      <c r="CO20" s="97" t="str">
        <f>IF(OR(ISBLANK(AL20),ISBLANK(AN20)),"N/A",IF(ABS((AN20-AL20)/AL20)&gt;0.25,"&gt; 25%","ok"))</f>
        <v>N/A</v>
      </c>
      <c r="CP20" s="115"/>
      <c r="CQ20" s="97" t="str">
        <f>IF(OR(ISBLANK(AN20),ISBLANK(AP20)),"N/A",IF(ABS((AP20-AN20)/AN20)&gt;0.25,"&gt; 25%","ok"))</f>
        <v>N/A</v>
      </c>
      <c r="CR20" s="115"/>
      <c r="CS20" s="97" t="str">
        <f>IF(OR(ISBLANK(AP20),ISBLANK(AR20)),"N/A",IF(ABS((AR20-AP20)/AP20)&gt;0.25,"&gt; 25%","ok"))</f>
        <v>N/A</v>
      </c>
      <c r="CT20" s="82"/>
      <c r="CU20" s="97" t="str">
        <f>IF(OR(ISBLANK(AR20),ISBLANK(AT20)),"N/A",IF(ABS((AT20-AR20)/AR20)&gt;0.25,"&gt; 25%","ok"))</f>
        <v>N/A</v>
      </c>
      <c r="CV20" s="116"/>
      <c r="CW20" s="97" t="str">
        <f>IF(OR(ISBLANK(AT20),ISBLANK(AV20)),"N/A",IF(ABS((AV20-AT20)/AT20)&gt;0.25,"&gt; 25%","ok"))</f>
        <v>N/A</v>
      </c>
      <c r="CX20" s="82"/>
      <c r="CY20" s="97" t="str">
        <f>IF(OR(ISBLANK(AV20),ISBLANK(AX20)),"N/A",IF(ABS((AX20-AV20)/AV20)&gt;0.25,"&gt; 25%","ok"))</f>
        <v>N/A</v>
      </c>
      <c r="CZ20" s="116"/>
      <c r="DA20" s="97" t="str">
        <f t="shared" si="21"/>
        <v>N/A</v>
      </c>
      <c r="DB20" s="209"/>
      <c r="DC20" s="285"/>
    </row>
    <row r="21" spans="2:107" ht="18.75" customHeight="1">
      <c r="B21" s="237">
        <v>109</v>
      </c>
      <c r="C21" s="255">
        <v>14</v>
      </c>
      <c r="D21" s="252" t="s">
        <v>94</v>
      </c>
      <c r="E21" s="255" t="s">
        <v>314</v>
      </c>
      <c r="F21" s="602"/>
      <c r="G21" s="585"/>
      <c r="H21" s="602"/>
      <c r="I21" s="585"/>
      <c r="J21" s="602"/>
      <c r="K21" s="585"/>
      <c r="L21" s="602"/>
      <c r="M21" s="585"/>
      <c r="N21" s="602"/>
      <c r="O21" s="585"/>
      <c r="P21" s="602"/>
      <c r="Q21" s="585"/>
      <c r="R21" s="602"/>
      <c r="S21" s="585"/>
      <c r="T21" s="602"/>
      <c r="U21" s="585"/>
      <c r="V21" s="602"/>
      <c r="W21" s="585"/>
      <c r="X21" s="602"/>
      <c r="Y21" s="585"/>
      <c r="Z21" s="602"/>
      <c r="AA21" s="585"/>
      <c r="AB21" s="602"/>
      <c r="AC21" s="585"/>
      <c r="AD21" s="602"/>
      <c r="AE21" s="585"/>
      <c r="AF21" s="602"/>
      <c r="AG21" s="585"/>
      <c r="AH21" s="602"/>
      <c r="AI21" s="585"/>
      <c r="AJ21" s="602"/>
      <c r="AK21" s="585"/>
      <c r="AL21" s="602"/>
      <c r="AM21" s="585"/>
      <c r="AN21" s="602"/>
      <c r="AO21" s="585"/>
      <c r="AP21" s="602"/>
      <c r="AQ21" s="585"/>
      <c r="AR21" s="602"/>
      <c r="AS21" s="585"/>
      <c r="AT21" s="602"/>
      <c r="AU21" s="585"/>
      <c r="AV21" s="602"/>
      <c r="AW21" s="585"/>
      <c r="AX21" s="602"/>
      <c r="AY21" s="585"/>
      <c r="AZ21" s="602"/>
      <c r="BA21" s="585"/>
      <c r="BD21" s="82">
        <v>14</v>
      </c>
      <c r="BE21" s="248" t="s">
        <v>94</v>
      </c>
      <c r="BF21" s="82" t="s">
        <v>608</v>
      </c>
      <c r="BG21" s="117" t="s">
        <v>85</v>
      </c>
      <c r="BH21" s="116"/>
      <c r="BI21" s="97" t="str">
        <f t="shared" si="22"/>
        <v>N/A</v>
      </c>
      <c r="BJ21" s="115"/>
      <c r="BK21" s="97" t="str">
        <f t="shared" si="0"/>
        <v>N/A</v>
      </c>
      <c r="BL21" s="117"/>
      <c r="BM21" s="97" t="str">
        <f t="shared" si="1"/>
        <v>N/A</v>
      </c>
      <c r="BN21" s="117"/>
      <c r="BO21" s="97" t="str">
        <f t="shared" si="2"/>
        <v>N/A</v>
      </c>
      <c r="BP21" s="117"/>
      <c r="BQ21" s="97" t="str">
        <f t="shared" si="3"/>
        <v>N/A</v>
      </c>
      <c r="BR21" s="117"/>
      <c r="BS21" s="97" t="str">
        <f>IF(OR(ISBLANK(P21),ISBLANK(R21)),"N/A",IF(ABS((R21-P21)/P21)&gt;0.25,"&gt; 25%","ok"))</f>
        <v>N/A</v>
      </c>
      <c r="BT21" s="117"/>
      <c r="BU21" s="97" t="str">
        <f>IF(OR(ISBLANK(R21),ISBLANK(T21)),"N/A",IF(ABS((T21-R21)/R21)&gt;0.25,"&gt; 25%","ok"))</f>
        <v>N/A</v>
      </c>
      <c r="BV21" s="82"/>
      <c r="BW21" s="97" t="str">
        <f>IF(OR(ISBLANK(T21),ISBLANK(V21)),"N/A",IF(ABS((V21-T21)/T21)&gt;0.25,"&gt; 25%","ok"))</f>
        <v>N/A</v>
      </c>
      <c r="BX21" s="82"/>
      <c r="BY21" s="97" t="str">
        <f>IF(OR(ISBLANK(V21),ISBLANK(X21)),"N/A",IF(ABS((X21-V21)/V21)&gt;0.25,"&gt; 25%","ok"))</f>
        <v>N/A</v>
      </c>
      <c r="BZ21" s="115"/>
      <c r="CA21" s="97" t="str">
        <f>IF(OR(ISBLANK(X21),ISBLANK(Z21)),"N/A",IF(ABS((Z21-X21)/X21)&gt;0.25,"&gt; 25%","ok"))</f>
        <v>N/A</v>
      </c>
      <c r="CB21" s="82"/>
      <c r="CC21" s="97" t="str">
        <f>IF(OR(ISBLANK(Z21),ISBLANK(AB21)),"N/A",IF(ABS((AB21-Z21)/Z21)&gt;0.25,"&gt; 25%","ok"))</f>
        <v>N/A</v>
      </c>
      <c r="CD21" s="116"/>
      <c r="CE21" s="97" t="str">
        <f>IF(OR(ISBLANK(AB21),ISBLANK(AD21)),"N/A",IF(ABS((AD21-AB21)/AB21)&gt;0.25,"&gt; 25%","ok"))</f>
        <v>N/A</v>
      </c>
      <c r="CF21" s="115"/>
      <c r="CG21" s="97" t="str">
        <f>IF(OR(ISBLANK(AD21),ISBLANK(AF21)),"N/A",IF(ABS((AF21-AD21)/AD21)&gt;0.25,"&gt; 25%","ok"))</f>
        <v>N/A</v>
      </c>
      <c r="CH21" s="82"/>
      <c r="CI21" s="97" t="str">
        <f>IF(OR(ISBLANK(AF21),ISBLANK(AH21)),"N/A",IF(ABS((AH21-AF21)/AF21)&gt;0.25,"&gt; 25%","ok"))</f>
        <v>N/A</v>
      </c>
      <c r="CJ21" s="116"/>
      <c r="CK21" s="97" t="str">
        <f>IF(OR(ISBLANK(AH21),ISBLANK(AJ21)),"N/A",IF(ABS((AJ21-AH21)/AH21)&gt;0.25,"&gt; 25%","ok"))</f>
        <v>N/A</v>
      </c>
      <c r="CL21" s="82"/>
      <c r="CM21" s="97" t="str">
        <f>IF(OR(ISBLANK(AJ21),ISBLANK(AL21)),"N/A",IF(ABS((AL21-AJ21)/AJ21)&gt;0.25,"&gt; 25%","ok"))</f>
        <v>N/A</v>
      </c>
      <c r="CN21" s="82"/>
      <c r="CO21" s="97" t="str">
        <f>IF(OR(ISBLANK(AL21),ISBLANK(AN21)),"N/A",IF(ABS((AN21-AL21)/AL21)&gt;0.25,"&gt; 25%","ok"))</f>
        <v>N/A</v>
      </c>
      <c r="CP21" s="115"/>
      <c r="CQ21" s="97" t="str">
        <f>IF(OR(ISBLANK(AN21),ISBLANK(AP21)),"N/A",IF(ABS((AP21-AN21)/AN21)&gt;0.25,"&gt; 25%","ok"))</f>
        <v>N/A</v>
      </c>
      <c r="CR21" s="115"/>
      <c r="CS21" s="97" t="str">
        <f>IF(OR(ISBLANK(AP21),ISBLANK(AR21)),"N/A",IF(ABS((AR21-AP21)/AP21)&gt;0.25,"&gt; 25%","ok"))</f>
        <v>N/A</v>
      </c>
      <c r="CT21" s="82"/>
      <c r="CU21" s="97" t="str">
        <f>IF(OR(ISBLANK(AR21),ISBLANK(AT21)),"N/A",IF(ABS((AT21-AR21)/AR21)&gt;0.25,"&gt; 25%","ok"))</f>
        <v>N/A</v>
      </c>
      <c r="CV21" s="116"/>
      <c r="CW21" s="97" t="str">
        <f>IF(OR(ISBLANK(AT21),ISBLANK(AV21)),"N/A",IF(ABS((AV21-AT21)/AT21)&gt;0.25,"&gt; 25%","ok"))</f>
        <v>N/A</v>
      </c>
      <c r="CX21" s="82"/>
      <c r="CY21" s="97" t="str">
        <f>IF(OR(ISBLANK(AV21),ISBLANK(AX21)),"N/A",IF(ABS((AX21-AV21)/AV21)&gt;0.25,"&gt; 25%","ok"))</f>
        <v>N/A</v>
      </c>
      <c r="CZ21" s="116"/>
      <c r="DA21" s="97" t="str">
        <f t="shared" si="21"/>
        <v>N/A</v>
      </c>
      <c r="DB21" s="209"/>
      <c r="DC21" s="285"/>
    </row>
    <row r="22" spans="2:107" ht="27" customHeight="1">
      <c r="B22" s="237">
        <v>90</v>
      </c>
      <c r="C22" s="255">
        <v>15</v>
      </c>
      <c r="D22" s="489" t="s">
        <v>464</v>
      </c>
      <c r="E22" s="255" t="s">
        <v>314</v>
      </c>
      <c r="F22" s="602"/>
      <c r="G22" s="585"/>
      <c r="H22" s="602"/>
      <c r="I22" s="585"/>
      <c r="J22" s="602"/>
      <c r="K22" s="585"/>
      <c r="L22" s="602"/>
      <c r="M22" s="585"/>
      <c r="N22" s="602"/>
      <c r="O22" s="585"/>
      <c r="P22" s="602"/>
      <c r="Q22" s="585"/>
      <c r="R22" s="602"/>
      <c r="S22" s="585"/>
      <c r="T22" s="602"/>
      <c r="U22" s="585"/>
      <c r="V22" s="602"/>
      <c r="W22" s="585"/>
      <c r="X22" s="602"/>
      <c r="Y22" s="585"/>
      <c r="Z22" s="602"/>
      <c r="AA22" s="585"/>
      <c r="AB22" s="602"/>
      <c r="AC22" s="585"/>
      <c r="AD22" s="602"/>
      <c r="AE22" s="585"/>
      <c r="AF22" s="602"/>
      <c r="AG22" s="585"/>
      <c r="AH22" s="602"/>
      <c r="AI22" s="585"/>
      <c r="AJ22" s="602"/>
      <c r="AK22" s="585"/>
      <c r="AL22" s="602"/>
      <c r="AM22" s="585"/>
      <c r="AN22" s="602"/>
      <c r="AO22" s="585"/>
      <c r="AP22" s="602"/>
      <c r="AQ22" s="585"/>
      <c r="AR22" s="602"/>
      <c r="AS22" s="585"/>
      <c r="AT22" s="602"/>
      <c r="AU22" s="585"/>
      <c r="AV22" s="602"/>
      <c r="AW22" s="585"/>
      <c r="AX22" s="602"/>
      <c r="AY22" s="585"/>
      <c r="AZ22" s="602"/>
      <c r="BA22" s="585"/>
      <c r="BD22" s="82">
        <v>15</v>
      </c>
      <c r="BE22" s="449" t="s">
        <v>610</v>
      </c>
      <c r="BF22" s="82" t="s">
        <v>608</v>
      </c>
      <c r="BG22" s="82" t="s">
        <v>85</v>
      </c>
      <c r="BH22" s="117"/>
      <c r="BI22" s="97" t="str">
        <f>IF(OR(ISBLANK(F22),ISBLANK(H22)),"N/A",IF(ABS((H22-F22)/F22)&gt;1,"&gt; 100%","ok"))</f>
        <v>N/A</v>
      </c>
      <c r="BJ22" s="82"/>
      <c r="BK22" s="97" t="str">
        <f t="shared" si="0"/>
        <v>N/A</v>
      </c>
      <c r="BL22" s="82"/>
      <c r="BM22" s="97" t="str">
        <f>IF(OR(ISBLANK(J22),ISBLANK(L22)),"N/A",IF(ABS((L22-J22)/J22)&gt;0.25,"&gt; 25%","ok"))</f>
        <v>N/A</v>
      </c>
      <c r="BN22" s="82"/>
      <c r="BO22" s="97" t="str">
        <f t="shared" si="2"/>
        <v>N/A</v>
      </c>
      <c r="BP22" s="82"/>
      <c r="BQ22" s="97" t="str">
        <f t="shared" si="3"/>
        <v>N/A</v>
      </c>
      <c r="BR22" s="82"/>
      <c r="BS22" s="97" t="str">
        <f aca="true" t="shared" si="23" ref="BS22:BS27">IF(OR(ISBLANK(P22),ISBLANK(R22)),"N/A",IF(ABS((R22-P22)/P22)&gt;0.25,"&gt; 25%","ok"))</f>
        <v>N/A</v>
      </c>
      <c r="BT22" s="82"/>
      <c r="BU22" s="97" t="str">
        <f aca="true" t="shared" si="24" ref="BU22:BU27">IF(OR(ISBLANK(R22),ISBLANK(T22)),"N/A",IF(ABS((T22-R22)/R22)&gt;0.25,"&gt; 25%","ok"))</f>
        <v>N/A</v>
      </c>
      <c r="BV22" s="82"/>
      <c r="BW22" s="97" t="str">
        <f aca="true" t="shared" si="25" ref="BW22:BW27">IF(OR(ISBLANK(T22),ISBLANK(V22)),"N/A",IF(ABS((V22-T22)/T22)&gt;0.25,"&gt; 25%","ok"))</f>
        <v>N/A</v>
      </c>
      <c r="BX22" s="82"/>
      <c r="BY22" s="97" t="str">
        <f aca="true" t="shared" si="26" ref="BY22:BY27">IF(OR(ISBLANK(V22),ISBLANK(X22)),"N/A",IF(ABS((X22-V22)/V22)&gt;0.25,"&gt; 25%","ok"))</f>
        <v>N/A</v>
      </c>
      <c r="BZ22" s="115"/>
      <c r="CA22" s="97" t="str">
        <f aca="true" t="shared" si="27" ref="CA22:CA27">IF(OR(ISBLANK(X22),ISBLANK(Z22)),"N/A",IF(ABS((Z22-X22)/X22)&gt;0.25,"&gt; 25%","ok"))</f>
        <v>N/A</v>
      </c>
      <c r="CB22" s="82"/>
      <c r="CC22" s="97" t="str">
        <f aca="true" t="shared" si="28" ref="CC22:CC27">IF(OR(ISBLANK(Z22),ISBLANK(AB22)),"N/A",IF(ABS((AB22-Z22)/Z22)&gt;0.25,"&gt; 25%","ok"))</f>
        <v>N/A</v>
      </c>
      <c r="CD22" s="116"/>
      <c r="CE22" s="97" t="str">
        <f aca="true" t="shared" si="29" ref="CE22:CE27">IF(OR(ISBLANK(AB22),ISBLANK(AD22)),"N/A",IF(ABS((AD22-AB22)/AB22)&gt;0.25,"&gt; 25%","ok"))</f>
        <v>N/A</v>
      </c>
      <c r="CF22" s="115"/>
      <c r="CG22" s="97" t="str">
        <f aca="true" t="shared" si="30" ref="CG22:CG27">IF(OR(ISBLANK(AD22),ISBLANK(AF22)),"N/A",IF(ABS((AF22-AD22)/AD22)&gt;0.25,"&gt; 25%","ok"))</f>
        <v>N/A</v>
      </c>
      <c r="CH22" s="82"/>
      <c r="CI22" s="97" t="str">
        <f aca="true" t="shared" si="31" ref="CI22:CI27">IF(OR(ISBLANK(AF22),ISBLANK(AH22)),"N/A",IF(ABS((AH22-AF22)/AF22)&gt;0.25,"&gt; 25%","ok"))</f>
        <v>N/A</v>
      </c>
      <c r="CJ22" s="116"/>
      <c r="CK22" s="97" t="str">
        <f aca="true" t="shared" si="32" ref="CK22:CK27">IF(OR(ISBLANK(AH22),ISBLANK(AJ22)),"N/A",IF(ABS((AJ22-AH22)/AH22)&gt;0.25,"&gt; 25%","ok"))</f>
        <v>N/A</v>
      </c>
      <c r="CL22" s="82"/>
      <c r="CM22" s="97" t="str">
        <f aca="true" t="shared" si="33" ref="CM22:CM27">IF(OR(ISBLANK(AJ22),ISBLANK(AL22)),"N/A",IF(ABS((AL22-AJ22)/AJ22)&gt;0.25,"&gt; 25%","ok"))</f>
        <v>N/A</v>
      </c>
      <c r="CN22" s="82"/>
      <c r="CO22" s="97" t="str">
        <f aca="true" t="shared" si="34" ref="CO22:CO27">IF(OR(ISBLANK(AL22),ISBLANK(AN22)),"N/A",IF(ABS((AN22-AL22)/AL22)&gt;0.25,"&gt; 25%","ok"))</f>
        <v>N/A</v>
      </c>
      <c r="CP22" s="115"/>
      <c r="CQ22" s="97" t="str">
        <f aca="true" t="shared" si="35" ref="CQ22:CQ27">IF(OR(ISBLANK(AN22),ISBLANK(AP22)),"N/A",IF(ABS((AP22-AN22)/AN22)&gt;0.25,"&gt; 25%","ok"))</f>
        <v>N/A</v>
      </c>
      <c r="CR22" s="115"/>
      <c r="CS22" s="97" t="str">
        <f aca="true" t="shared" si="36" ref="CS22:CS27">IF(OR(ISBLANK(AP22),ISBLANK(AR22)),"N/A",IF(ABS((AR22-AP22)/AP22)&gt;0.25,"&gt; 25%","ok"))</f>
        <v>N/A</v>
      </c>
      <c r="CT22" s="82"/>
      <c r="CU22" s="97" t="str">
        <f aca="true" t="shared" si="37" ref="CU22:CU27">IF(OR(ISBLANK(AR22),ISBLANK(AT22)),"N/A",IF(ABS((AT22-AR22)/AR22)&gt;0.25,"&gt; 25%","ok"))</f>
        <v>N/A</v>
      </c>
      <c r="CV22" s="116"/>
      <c r="CW22" s="97" t="str">
        <f aca="true" t="shared" si="38" ref="CW22:CW27">IF(OR(ISBLANK(AT22),ISBLANK(AV22)),"N/A",IF(ABS((AV22-AT22)/AT22)&gt;0.25,"&gt; 25%","ok"))</f>
        <v>N/A</v>
      </c>
      <c r="CX22" s="82"/>
      <c r="CY22" s="97" t="str">
        <f aca="true" t="shared" si="39" ref="CY22:CY27">IF(OR(ISBLANK(AV22),ISBLANK(AX22)),"N/A",IF(ABS((AX22-AV22)/AV22)&gt;0.25,"&gt; 25%","ok"))</f>
        <v>N/A</v>
      </c>
      <c r="CZ22" s="116"/>
      <c r="DA22" s="97" t="str">
        <f t="shared" si="21"/>
        <v>N/A</v>
      </c>
      <c r="DB22" s="209"/>
      <c r="DC22" s="285"/>
    </row>
    <row r="23" spans="2:107" ht="18.75" customHeight="1">
      <c r="B23" s="237">
        <v>91</v>
      </c>
      <c r="C23" s="255">
        <v>16</v>
      </c>
      <c r="D23" s="446" t="s">
        <v>92</v>
      </c>
      <c r="E23" s="255" t="s">
        <v>314</v>
      </c>
      <c r="F23" s="602"/>
      <c r="G23" s="585"/>
      <c r="H23" s="602"/>
      <c r="I23" s="585"/>
      <c r="J23" s="602"/>
      <c r="K23" s="585"/>
      <c r="L23" s="602"/>
      <c r="M23" s="585"/>
      <c r="N23" s="602"/>
      <c r="O23" s="585"/>
      <c r="P23" s="602"/>
      <c r="Q23" s="585"/>
      <c r="R23" s="602"/>
      <c r="S23" s="585"/>
      <c r="T23" s="602"/>
      <c r="U23" s="585"/>
      <c r="V23" s="602"/>
      <c r="W23" s="585"/>
      <c r="X23" s="602"/>
      <c r="Y23" s="585"/>
      <c r="Z23" s="602"/>
      <c r="AA23" s="585"/>
      <c r="AB23" s="602"/>
      <c r="AC23" s="585"/>
      <c r="AD23" s="602"/>
      <c r="AE23" s="585"/>
      <c r="AF23" s="602"/>
      <c r="AG23" s="585"/>
      <c r="AH23" s="602"/>
      <c r="AI23" s="585"/>
      <c r="AJ23" s="602"/>
      <c r="AK23" s="585"/>
      <c r="AL23" s="602"/>
      <c r="AM23" s="585"/>
      <c r="AN23" s="602"/>
      <c r="AO23" s="585"/>
      <c r="AP23" s="602"/>
      <c r="AQ23" s="585"/>
      <c r="AR23" s="602"/>
      <c r="AS23" s="585"/>
      <c r="AT23" s="602"/>
      <c r="AU23" s="585"/>
      <c r="AV23" s="602"/>
      <c r="AW23" s="585"/>
      <c r="AX23" s="602"/>
      <c r="AY23" s="585"/>
      <c r="AZ23" s="602"/>
      <c r="BA23" s="585"/>
      <c r="BD23" s="82">
        <v>16</v>
      </c>
      <c r="BE23" s="449" t="s">
        <v>92</v>
      </c>
      <c r="BF23" s="82" t="s">
        <v>608</v>
      </c>
      <c r="BG23" s="82" t="s">
        <v>85</v>
      </c>
      <c r="BH23" s="117"/>
      <c r="BI23" s="97" t="str">
        <f t="shared" si="22"/>
        <v>N/A</v>
      </c>
      <c r="BJ23" s="82"/>
      <c r="BK23" s="97" t="str">
        <f t="shared" si="0"/>
        <v>N/A</v>
      </c>
      <c r="BL23" s="82"/>
      <c r="BM23" s="97" t="str">
        <f t="shared" si="1"/>
        <v>N/A</v>
      </c>
      <c r="BN23" s="82"/>
      <c r="BO23" s="97" t="str">
        <f t="shared" si="2"/>
        <v>N/A</v>
      </c>
      <c r="BP23" s="82"/>
      <c r="BQ23" s="97" t="str">
        <f t="shared" si="3"/>
        <v>N/A</v>
      </c>
      <c r="BR23" s="82"/>
      <c r="BS23" s="97" t="str">
        <f t="shared" si="23"/>
        <v>N/A</v>
      </c>
      <c r="BT23" s="82"/>
      <c r="BU23" s="97" t="str">
        <f t="shared" si="24"/>
        <v>N/A</v>
      </c>
      <c r="BV23" s="82"/>
      <c r="BW23" s="97" t="str">
        <f t="shared" si="25"/>
        <v>N/A</v>
      </c>
      <c r="BX23" s="82"/>
      <c r="BY23" s="97" t="str">
        <f t="shared" si="26"/>
        <v>N/A</v>
      </c>
      <c r="BZ23" s="115"/>
      <c r="CA23" s="97" t="str">
        <f t="shared" si="27"/>
        <v>N/A</v>
      </c>
      <c r="CB23" s="82"/>
      <c r="CC23" s="97" t="str">
        <f t="shared" si="28"/>
        <v>N/A</v>
      </c>
      <c r="CD23" s="117"/>
      <c r="CE23" s="97" t="str">
        <f t="shared" si="29"/>
        <v>N/A</v>
      </c>
      <c r="CF23" s="115"/>
      <c r="CG23" s="97" t="str">
        <f t="shared" si="30"/>
        <v>N/A</v>
      </c>
      <c r="CH23" s="82"/>
      <c r="CI23" s="97" t="str">
        <f t="shared" si="31"/>
        <v>N/A</v>
      </c>
      <c r="CJ23" s="117"/>
      <c r="CK23" s="97" t="str">
        <f t="shared" si="32"/>
        <v>N/A</v>
      </c>
      <c r="CL23" s="82"/>
      <c r="CM23" s="97" t="str">
        <f t="shared" si="33"/>
        <v>N/A</v>
      </c>
      <c r="CN23" s="82"/>
      <c r="CO23" s="97" t="str">
        <f t="shared" si="34"/>
        <v>N/A</v>
      </c>
      <c r="CP23" s="115"/>
      <c r="CQ23" s="97" t="str">
        <f t="shared" si="35"/>
        <v>N/A</v>
      </c>
      <c r="CR23" s="115"/>
      <c r="CS23" s="97" t="str">
        <f t="shared" si="36"/>
        <v>N/A</v>
      </c>
      <c r="CT23" s="82"/>
      <c r="CU23" s="97" t="str">
        <f t="shared" si="37"/>
        <v>N/A</v>
      </c>
      <c r="CV23" s="117"/>
      <c r="CW23" s="97" t="str">
        <f t="shared" si="38"/>
        <v>N/A</v>
      </c>
      <c r="CX23" s="82"/>
      <c r="CY23" s="97" t="str">
        <f t="shared" si="39"/>
        <v>N/A</v>
      </c>
      <c r="CZ23" s="117"/>
      <c r="DA23" s="97" t="str">
        <f t="shared" si="21"/>
        <v>N/A</v>
      </c>
      <c r="DB23" s="209"/>
      <c r="DC23" s="285"/>
    </row>
    <row r="24" spans="2:107" ht="18.75" customHeight="1">
      <c r="B24" s="237">
        <v>92</v>
      </c>
      <c r="C24" s="255">
        <v>17</v>
      </c>
      <c r="D24" s="446" t="s">
        <v>93</v>
      </c>
      <c r="E24" s="255" t="s">
        <v>314</v>
      </c>
      <c r="F24" s="602"/>
      <c r="G24" s="585"/>
      <c r="H24" s="602"/>
      <c r="I24" s="585"/>
      <c r="J24" s="602"/>
      <c r="K24" s="585"/>
      <c r="L24" s="602"/>
      <c r="M24" s="585"/>
      <c r="N24" s="602"/>
      <c r="O24" s="585"/>
      <c r="P24" s="602"/>
      <c r="Q24" s="585"/>
      <c r="R24" s="602"/>
      <c r="S24" s="585"/>
      <c r="T24" s="602"/>
      <c r="U24" s="585"/>
      <c r="V24" s="602"/>
      <c r="W24" s="585"/>
      <c r="X24" s="602"/>
      <c r="Y24" s="585"/>
      <c r="Z24" s="602"/>
      <c r="AA24" s="585"/>
      <c r="AB24" s="602"/>
      <c r="AC24" s="585"/>
      <c r="AD24" s="602"/>
      <c r="AE24" s="585"/>
      <c r="AF24" s="602"/>
      <c r="AG24" s="585"/>
      <c r="AH24" s="602"/>
      <c r="AI24" s="585"/>
      <c r="AJ24" s="602"/>
      <c r="AK24" s="585"/>
      <c r="AL24" s="602"/>
      <c r="AM24" s="585"/>
      <c r="AN24" s="602"/>
      <c r="AO24" s="585"/>
      <c r="AP24" s="602"/>
      <c r="AQ24" s="585"/>
      <c r="AR24" s="602"/>
      <c r="AS24" s="585"/>
      <c r="AT24" s="602"/>
      <c r="AU24" s="585"/>
      <c r="AV24" s="602"/>
      <c r="AW24" s="585"/>
      <c r="AX24" s="602"/>
      <c r="AY24" s="585"/>
      <c r="AZ24" s="602"/>
      <c r="BA24" s="585"/>
      <c r="BD24" s="82">
        <v>17</v>
      </c>
      <c r="BE24" s="449" t="s">
        <v>93</v>
      </c>
      <c r="BF24" s="82" t="s">
        <v>608</v>
      </c>
      <c r="BG24" s="82" t="s">
        <v>85</v>
      </c>
      <c r="BH24" s="117"/>
      <c r="BI24" s="97" t="str">
        <f t="shared" si="22"/>
        <v>N/A</v>
      </c>
      <c r="BJ24" s="82"/>
      <c r="BK24" s="97" t="str">
        <f t="shared" si="0"/>
        <v>N/A</v>
      </c>
      <c r="BL24" s="82"/>
      <c r="BM24" s="97" t="str">
        <f t="shared" si="1"/>
        <v>N/A</v>
      </c>
      <c r="BN24" s="82"/>
      <c r="BO24" s="97" t="str">
        <f>IF(OR(ISBLANK(L24),ISBLANK(N24)),"N/A",IF(ABS((N24-L24)/L24)&gt;0.25,"&gt; 25%","ok"))</f>
        <v>N/A</v>
      </c>
      <c r="BP24" s="82"/>
      <c r="BQ24" s="97" t="str">
        <f t="shared" si="3"/>
        <v>N/A</v>
      </c>
      <c r="BR24" s="82"/>
      <c r="BS24" s="97" t="str">
        <f t="shared" si="23"/>
        <v>N/A</v>
      </c>
      <c r="BT24" s="82"/>
      <c r="BU24" s="97" t="str">
        <f t="shared" si="24"/>
        <v>N/A</v>
      </c>
      <c r="BV24" s="82"/>
      <c r="BW24" s="97" t="str">
        <f t="shared" si="25"/>
        <v>N/A</v>
      </c>
      <c r="BX24" s="82"/>
      <c r="BY24" s="97" t="str">
        <f t="shared" si="26"/>
        <v>N/A</v>
      </c>
      <c r="BZ24" s="115"/>
      <c r="CA24" s="97" t="str">
        <f t="shared" si="27"/>
        <v>N/A</v>
      </c>
      <c r="CB24" s="117"/>
      <c r="CC24" s="97" t="str">
        <f t="shared" si="28"/>
        <v>N/A</v>
      </c>
      <c r="CD24" s="117"/>
      <c r="CE24" s="97" t="str">
        <f t="shared" si="29"/>
        <v>N/A</v>
      </c>
      <c r="CF24" s="82"/>
      <c r="CG24" s="97" t="str">
        <f t="shared" si="30"/>
        <v>N/A</v>
      </c>
      <c r="CH24" s="117"/>
      <c r="CI24" s="97" t="str">
        <f t="shared" si="31"/>
        <v>N/A</v>
      </c>
      <c r="CJ24" s="117"/>
      <c r="CK24" s="97" t="str">
        <f t="shared" si="32"/>
        <v>N/A</v>
      </c>
      <c r="CL24" s="82"/>
      <c r="CM24" s="97" t="str">
        <f t="shared" si="33"/>
        <v>N/A</v>
      </c>
      <c r="CN24" s="82"/>
      <c r="CO24" s="97" t="str">
        <f t="shared" si="34"/>
        <v>N/A</v>
      </c>
      <c r="CP24" s="115"/>
      <c r="CQ24" s="97" t="str">
        <f t="shared" si="35"/>
        <v>N/A</v>
      </c>
      <c r="CR24" s="115"/>
      <c r="CS24" s="97" t="str">
        <f t="shared" si="36"/>
        <v>N/A</v>
      </c>
      <c r="CT24" s="117"/>
      <c r="CU24" s="97" t="str">
        <f t="shared" si="37"/>
        <v>N/A</v>
      </c>
      <c r="CV24" s="117"/>
      <c r="CW24" s="97" t="str">
        <f t="shared" si="38"/>
        <v>N/A</v>
      </c>
      <c r="CX24" s="117"/>
      <c r="CY24" s="97" t="str">
        <f t="shared" si="39"/>
        <v>N/A</v>
      </c>
      <c r="CZ24" s="117"/>
      <c r="DA24" s="97" t="str">
        <f t="shared" si="21"/>
        <v>N/A</v>
      </c>
      <c r="DB24" s="209"/>
      <c r="DC24" s="285"/>
    </row>
    <row r="25" spans="2:107" ht="27" customHeight="1">
      <c r="B25" s="237">
        <v>105</v>
      </c>
      <c r="C25" s="255">
        <v>18</v>
      </c>
      <c r="D25" s="263" t="s">
        <v>95</v>
      </c>
      <c r="E25" s="255" t="s">
        <v>314</v>
      </c>
      <c r="F25" s="602"/>
      <c r="G25" s="585"/>
      <c r="H25" s="602"/>
      <c r="I25" s="585"/>
      <c r="J25" s="602"/>
      <c r="K25" s="585"/>
      <c r="L25" s="602"/>
      <c r="M25" s="585"/>
      <c r="N25" s="602"/>
      <c r="O25" s="585"/>
      <c r="P25" s="602"/>
      <c r="Q25" s="585"/>
      <c r="R25" s="602"/>
      <c r="S25" s="585"/>
      <c r="T25" s="602"/>
      <c r="U25" s="585"/>
      <c r="V25" s="602"/>
      <c r="W25" s="585"/>
      <c r="X25" s="602"/>
      <c r="Y25" s="585"/>
      <c r="Z25" s="602"/>
      <c r="AA25" s="585"/>
      <c r="AB25" s="602"/>
      <c r="AC25" s="585"/>
      <c r="AD25" s="602"/>
      <c r="AE25" s="585"/>
      <c r="AF25" s="602"/>
      <c r="AG25" s="585"/>
      <c r="AH25" s="602"/>
      <c r="AI25" s="585"/>
      <c r="AJ25" s="602"/>
      <c r="AK25" s="585"/>
      <c r="AL25" s="602"/>
      <c r="AM25" s="585"/>
      <c r="AN25" s="602"/>
      <c r="AO25" s="585"/>
      <c r="AP25" s="602"/>
      <c r="AQ25" s="585"/>
      <c r="AR25" s="602"/>
      <c r="AS25" s="585"/>
      <c r="AT25" s="602"/>
      <c r="AU25" s="585"/>
      <c r="AV25" s="602"/>
      <c r="AW25" s="585"/>
      <c r="AX25" s="602"/>
      <c r="AY25" s="585"/>
      <c r="AZ25" s="602"/>
      <c r="BA25" s="585"/>
      <c r="BD25" s="82">
        <v>18</v>
      </c>
      <c r="BE25" s="264" t="s">
        <v>95</v>
      </c>
      <c r="BF25" s="82" t="s">
        <v>608</v>
      </c>
      <c r="BG25" s="82" t="s">
        <v>85</v>
      </c>
      <c r="BH25" s="117"/>
      <c r="BI25" s="97" t="str">
        <f t="shared" si="22"/>
        <v>N/A</v>
      </c>
      <c r="BJ25" s="82"/>
      <c r="BK25" s="97" t="str">
        <f t="shared" si="0"/>
        <v>N/A</v>
      </c>
      <c r="BL25" s="82"/>
      <c r="BM25" s="97" t="str">
        <f t="shared" si="1"/>
        <v>N/A</v>
      </c>
      <c r="BN25" s="82"/>
      <c r="BO25" s="97" t="str">
        <f t="shared" si="2"/>
        <v>N/A</v>
      </c>
      <c r="BP25" s="82"/>
      <c r="BQ25" s="97" t="str">
        <f t="shared" si="3"/>
        <v>N/A</v>
      </c>
      <c r="BR25" s="82"/>
      <c r="BS25" s="97" t="str">
        <f t="shared" si="23"/>
        <v>N/A</v>
      </c>
      <c r="BT25" s="82"/>
      <c r="BU25" s="97" t="str">
        <f t="shared" si="24"/>
        <v>N/A</v>
      </c>
      <c r="BV25" s="82"/>
      <c r="BW25" s="97" t="str">
        <f t="shared" si="25"/>
        <v>N/A</v>
      </c>
      <c r="BX25" s="82"/>
      <c r="BY25" s="97" t="str">
        <f t="shared" si="26"/>
        <v>N/A</v>
      </c>
      <c r="BZ25" s="115"/>
      <c r="CA25" s="97" t="str">
        <f t="shared" si="27"/>
        <v>N/A</v>
      </c>
      <c r="CB25" s="117"/>
      <c r="CC25" s="97" t="str">
        <f t="shared" si="28"/>
        <v>N/A</v>
      </c>
      <c r="CD25" s="117"/>
      <c r="CE25" s="97" t="str">
        <f t="shared" si="29"/>
        <v>N/A</v>
      </c>
      <c r="CF25" s="82"/>
      <c r="CG25" s="97" t="str">
        <f t="shared" si="30"/>
        <v>N/A</v>
      </c>
      <c r="CH25" s="117"/>
      <c r="CI25" s="97" t="str">
        <f t="shared" si="31"/>
        <v>N/A</v>
      </c>
      <c r="CJ25" s="117"/>
      <c r="CK25" s="97" t="str">
        <f t="shared" si="32"/>
        <v>N/A</v>
      </c>
      <c r="CL25" s="82"/>
      <c r="CM25" s="97" t="str">
        <f t="shared" si="33"/>
        <v>N/A</v>
      </c>
      <c r="CN25" s="82"/>
      <c r="CO25" s="97" t="str">
        <f t="shared" si="34"/>
        <v>N/A</v>
      </c>
      <c r="CP25" s="115"/>
      <c r="CQ25" s="97" t="str">
        <f t="shared" si="35"/>
        <v>N/A</v>
      </c>
      <c r="CR25" s="115"/>
      <c r="CS25" s="97" t="str">
        <f t="shared" si="36"/>
        <v>N/A</v>
      </c>
      <c r="CT25" s="117"/>
      <c r="CU25" s="97" t="str">
        <f t="shared" si="37"/>
        <v>N/A</v>
      </c>
      <c r="CV25" s="117"/>
      <c r="CW25" s="97" t="str">
        <f t="shared" si="38"/>
        <v>N/A</v>
      </c>
      <c r="CX25" s="117"/>
      <c r="CY25" s="97" t="str">
        <f t="shared" si="39"/>
        <v>N/A</v>
      </c>
      <c r="CZ25" s="117"/>
      <c r="DA25" s="97" t="str">
        <f t="shared" si="21"/>
        <v>N/A</v>
      </c>
      <c r="DB25" s="209"/>
      <c r="DC25" s="285"/>
    </row>
    <row r="26" spans="1:107" ht="18.75" customHeight="1">
      <c r="A26" s="212"/>
      <c r="B26" s="237">
        <v>2414</v>
      </c>
      <c r="C26" s="490">
        <v>19</v>
      </c>
      <c r="D26" s="491" t="s">
        <v>130</v>
      </c>
      <c r="E26" s="255" t="s">
        <v>314</v>
      </c>
      <c r="F26" s="604"/>
      <c r="G26" s="586"/>
      <c r="H26" s="604"/>
      <c r="I26" s="586"/>
      <c r="J26" s="604"/>
      <c r="K26" s="586"/>
      <c r="L26" s="604"/>
      <c r="M26" s="586"/>
      <c r="N26" s="604"/>
      <c r="O26" s="586"/>
      <c r="P26" s="604"/>
      <c r="Q26" s="586"/>
      <c r="R26" s="604"/>
      <c r="S26" s="586"/>
      <c r="T26" s="604"/>
      <c r="U26" s="586"/>
      <c r="V26" s="604"/>
      <c r="W26" s="586"/>
      <c r="X26" s="604"/>
      <c r="Y26" s="586"/>
      <c r="Z26" s="604"/>
      <c r="AA26" s="586"/>
      <c r="AB26" s="604"/>
      <c r="AC26" s="586"/>
      <c r="AD26" s="604"/>
      <c r="AE26" s="586"/>
      <c r="AF26" s="604"/>
      <c r="AG26" s="586"/>
      <c r="AH26" s="604"/>
      <c r="AI26" s="586"/>
      <c r="AJ26" s="604"/>
      <c r="AK26" s="586"/>
      <c r="AL26" s="604"/>
      <c r="AM26" s="586"/>
      <c r="AN26" s="604"/>
      <c r="AO26" s="586"/>
      <c r="AP26" s="604"/>
      <c r="AQ26" s="586"/>
      <c r="AR26" s="604"/>
      <c r="AS26" s="586"/>
      <c r="AT26" s="604"/>
      <c r="AU26" s="586"/>
      <c r="AV26" s="604"/>
      <c r="AW26" s="586"/>
      <c r="AX26" s="604"/>
      <c r="AY26" s="586"/>
      <c r="AZ26" s="604"/>
      <c r="BA26" s="586"/>
      <c r="BB26" s="378"/>
      <c r="BC26" s="215"/>
      <c r="BD26" s="260">
        <v>19</v>
      </c>
      <c r="BE26" s="492" t="s">
        <v>130</v>
      </c>
      <c r="BF26" s="82" t="s">
        <v>608</v>
      </c>
      <c r="BG26" s="82" t="s">
        <v>85</v>
      </c>
      <c r="BH26" s="117"/>
      <c r="BI26" s="97" t="str">
        <f t="shared" si="22"/>
        <v>N/A</v>
      </c>
      <c r="BJ26" s="82"/>
      <c r="BK26" s="97" t="str">
        <f t="shared" si="0"/>
        <v>N/A</v>
      </c>
      <c r="BL26" s="82"/>
      <c r="BM26" s="97" t="str">
        <f t="shared" si="1"/>
        <v>N/A</v>
      </c>
      <c r="BN26" s="82"/>
      <c r="BO26" s="97" t="str">
        <f t="shared" si="2"/>
        <v>N/A</v>
      </c>
      <c r="BP26" s="82"/>
      <c r="BQ26" s="97" t="str">
        <f t="shared" si="3"/>
        <v>N/A</v>
      </c>
      <c r="BR26" s="82"/>
      <c r="BS26" s="97" t="str">
        <f t="shared" si="23"/>
        <v>N/A</v>
      </c>
      <c r="BT26" s="82"/>
      <c r="BU26" s="97" t="str">
        <f t="shared" si="24"/>
        <v>N/A</v>
      </c>
      <c r="BV26" s="82"/>
      <c r="BW26" s="97" t="str">
        <f t="shared" si="25"/>
        <v>N/A</v>
      </c>
      <c r="BX26" s="82"/>
      <c r="BY26" s="97" t="str">
        <f t="shared" si="26"/>
        <v>N/A</v>
      </c>
      <c r="BZ26" s="82"/>
      <c r="CA26" s="97" t="str">
        <f t="shared" si="27"/>
        <v>N/A</v>
      </c>
      <c r="CB26" s="117"/>
      <c r="CC26" s="97" t="str">
        <f t="shared" si="28"/>
        <v>N/A</v>
      </c>
      <c r="CD26" s="82"/>
      <c r="CE26" s="97" t="str">
        <f t="shared" si="29"/>
        <v>N/A</v>
      </c>
      <c r="CF26" s="82"/>
      <c r="CG26" s="97" t="str">
        <f t="shared" si="30"/>
        <v>N/A</v>
      </c>
      <c r="CH26" s="117"/>
      <c r="CI26" s="97" t="str">
        <f t="shared" si="31"/>
        <v>N/A</v>
      </c>
      <c r="CJ26" s="82"/>
      <c r="CK26" s="97" t="str">
        <f t="shared" si="32"/>
        <v>N/A</v>
      </c>
      <c r="CL26" s="82"/>
      <c r="CM26" s="97" t="str">
        <f t="shared" si="33"/>
        <v>N/A</v>
      </c>
      <c r="CN26" s="82"/>
      <c r="CO26" s="97" t="str">
        <f t="shared" si="34"/>
        <v>N/A</v>
      </c>
      <c r="CP26" s="82"/>
      <c r="CQ26" s="97" t="str">
        <f t="shared" si="35"/>
        <v>N/A</v>
      </c>
      <c r="CR26" s="82"/>
      <c r="CS26" s="97" t="str">
        <f t="shared" si="36"/>
        <v>N/A</v>
      </c>
      <c r="CT26" s="117"/>
      <c r="CU26" s="97" t="str">
        <f t="shared" si="37"/>
        <v>N/A</v>
      </c>
      <c r="CV26" s="82"/>
      <c r="CW26" s="97" t="str">
        <f t="shared" si="38"/>
        <v>N/A</v>
      </c>
      <c r="CX26" s="117"/>
      <c r="CY26" s="97" t="str">
        <f t="shared" si="39"/>
        <v>N/A</v>
      </c>
      <c r="CZ26" s="82"/>
      <c r="DA26" s="97" t="str">
        <f t="shared" si="21"/>
        <v>N/A</v>
      </c>
      <c r="DB26" s="209"/>
      <c r="DC26" s="285"/>
    </row>
    <row r="27" spans="2:107" ht="18.75" customHeight="1">
      <c r="B27" s="493">
        <v>160</v>
      </c>
      <c r="C27" s="389">
        <v>20</v>
      </c>
      <c r="D27" s="494" t="s">
        <v>34</v>
      </c>
      <c r="E27" s="389" t="s">
        <v>315</v>
      </c>
      <c r="F27" s="605"/>
      <c r="G27" s="587"/>
      <c r="H27" s="605"/>
      <c r="I27" s="587"/>
      <c r="J27" s="605"/>
      <c r="K27" s="587"/>
      <c r="L27" s="605"/>
      <c r="M27" s="587"/>
      <c r="N27" s="605"/>
      <c r="O27" s="587"/>
      <c r="P27" s="605"/>
      <c r="Q27" s="587"/>
      <c r="R27" s="605"/>
      <c r="S27" s="587"/>
      <c r="T27" s="605"/>
      <c r="U27" s="587"/>
      <c r="V27" s="605"/>
      <c r="W27" s="587"/>
      <c r="X27" s="605"/>
      <c r="Y27" s="587"/>
      <c r="Z27" s="605"/>
      <c r="AA27" s="587"/>
      <c r="AB27" s="605"/>
      <c r="AC27" s="587"/>
      <c r="AD27" s="605"/>
      <c r="AE27" s="587"/>
      <c r="AF27" s="605"/>
      <c r="AG27" s="587"/>
      <c r="AH27" s="605"/>
      <c r="AI27" s="587"/>
      <c r="AJ27" s="605"/>
      <c r="AK27" s="587"/>
      <c r="AL27" s="605"/>
      <c r="AM27" s="587"/>
      <c r="AN27" s="605"/>
      <c r="AO27" s="587"/>
      <c r="AP27" s="605"/>
      <c r="AQ27" s="587"/>
      <c r="AR27" s="605"/>
      <c r="AS27" s="587"/>
      <c r="AT27" s="605"/>
      <c r="AU27" s="587"/>
      <c r="AV27" s="605"/>
      <c r="AW27" s="587"/>
      <c r="AX27" s="605"/>
      <c r="AY27" s="587"/>
      <c r="AZ27" s="605"/>
      <c r="BA27" s="587"/>
      <c r="BD27" s="95">
        <v>20</v>
      </c>
      <c r="BE27" s="495" t="s">
        <v>34</v>
      </c>
      <c r="BF27" s="95" t="s">
        <v>315</v>
      </c>
      <c r="BG27" s="95" t="s">
        <v>85</v>
      </c>
      <c r="BH27" s="496"/>
      <c r="BI27" s="95" t="str">
        <f t="shared" si="22"/>
        <v>N/A</v>
      </c>
      <c r="BJ27" s="95"/>
      <c r="BK27" s="95" t="str">
        <f t="shared" si="0"/>
        <v>N/A</v>
      </c>
      <c r="BL27" s="95"/>
      <c r="BM27" s="95" t="str">
        <f t="shared" si="1"/>
        <v>N/A</v>
      </c>
      <c r="BN27" s="95"/>
      <c r="BO27" s="95" t="str">
        <f t="shared" si="2"/>
        <v>N/A</v>
      </c>
      <c r="BP27" s="95"/>
      <c r="BQ27" s="95" t="str">
        <f>IF(OR(ISBLANK(N27),ISBLANK(P27)),"N/A",IF(ABS((P27-N27)/N27)&gt;0.25,"&gt; 25%","ok"))</f>
        <v>N/A</v>
      </c>
      <c r="BR27" s="95"/>
      <c r="BS27" s="95" t="str">
        <f t="shared" si="23"/>
        <v>N/A</v>
      </c>
      <c r="BT27" s="95"/>
      <c r="BU27" s="95" t="str">
        <f t="shared" si="24"/>
        <v>N/A</v>
      </c>
      <c r="BV27" s="95"/>
      <c r="BW27" s="95" t="str">
        <f t="shared" si="25"/>
        <v>N/A</v>
      </c>
      <c r="BX27" s="95"/>
      <c r="BY27" s="95" t="str">
        <f t="shared" si="26"/>
        <v>N/A</v>
      </c>
      <c r="BZ27" s="95"/>
      <c r="CA27" s="95" t="str">
        <f t="shared" si="27"/>
        <v>N/A</v>
      </c>
      <c r="CB27" s="95"/>
      <c r="CC27" s="95" t="str">
        <f t="shared" si="28"/>
        <v>N/A</v>
      </c>
      <c r="CD27" s="95"/>
      <c r="CE27" s="95" t="str">
        <f t="shared" si="29"/>
        <v>N/A</v>
      </c>
      <c r="CF27" s="95"/>
      <c r="CG27" s="95" t="str">
        <f t="shared" si="30"/>
        <v>N/A</v>
      </c>
      <c r="CH27" s="95"/>
      <c r="CI27" s="95" t="str">
        <f t="shared" si="31"/>
        <v>N/A</v>
      </c>
      <c r="CJ27" s="95"/>
      <c r="CK27" s="95" t="str">
        <f t="shared" si="32"/>
        <v>N/A</v>
      </c>
      <c r="CL27" s="95"/>
      <c r="CM27" s="95" t="str">
        <f t="shared" si="33"/>
        <v>N/A</v>
      </c>
      <c r="CN27" s="95"/>
      <c r="CO27" s="95" t="str">
        <f t="shared" si="34"/>
        <v>N/A</v>
      </c>
      <c r="CP27" s="95"/>
      <c r="CQ27" s="95" t="str">
        <f t="shared" si="35"/>
        <v>N/A</v>
      </c>
      <c r="CR27" s="95"/>
      <c r="CS27" s="95" t="str">
        <f t="shared" si="36"/>
        <v>N/A</v>
      </c>
      <c r="CT27" s="95"/>
      <c r="CU27" s="95" t="str">
        <f t="shared" si="37"/>
        <v>N/A</v>
      </c>
      <c r="CV27" s="95"/>
      <c r="CW27" s="95" t="str">
        <f t="shared" si="38"/>
        <v>N/A</v>
      </c>
      <c r="CX27" s="95"/>
      <c r="CY27" s="95" t="str">
        <f t="shared" si="39"/>
        <v>N/A</v>
      </c>
      <c r="CZ27" s="95"/>
      <c r="DA27" s="97" t="str">
        <f t="shared" si="21"/>
        <v>N/A</v>
      </c>
      <c r="DB27" s="209"/>
      <c r="DC27" s="285"/>
    </row>
    <row r="28" spans="3:107" ht="4.5" customHeight="1">
      <c r="C28" s="497"/>
      <c r="D28" s="208"/>
      <c r="E28" s="498"/>
      <c r="F28" s="208"/>
      <c r="G28" s="208"/>
      <c r="H28" s="208"/>
      <c r="I28" s="207"/>
      <c r="J28" s="289"/>
      <c r="K28" s="207"/>
      <c r="L28" s="289"/>
      <c r="M28" s="207"/>
      <c r="N28" s="289"/>
      <c r="O28" s="207"/>
      <c r="P28" s="289"/>
      <c r="Q28" s="207"/>
      <c r="R28" s="289"/>
      <c r="S28" s="207"/>
      <c r="T28" s="289"/>
      <c r="U28" s="207"/>
      <c r="V28" s="289"/>
      <c r="W28" s="207"/>
      <c r="X28" s="208"/>
      <c r="Y28" s="207"/>
      <c r="Z28" s="208"/>
      <c r="AA28" s="207"/>
      <c r="AB28" s="208"/>
      <c r="AC28" s="207"/>
      <c r="AD28" s="208"/>
      <c r="AE28" s="207"/>
      <c r="AF28" s="208"/>
      <c r="AG28" s="207"/>
      <c r="AH28" s="208"/>
      <c r="AI28" s="207"/>
      <c r="AJ28" s="289"/>
      <c r="AK28" s="207"/>
      <c r="AL28" s="208"/>
      <c r="AM28" s="207"/>
      <c r="AN28" s="208"/>
      <c r="AO28" s="341"/>
      <c r="AP28" s="341"/>
      <c r="AQ28" s="341"/>
      <c r="AR28" s="341"/>
      <c r="AS28" s="341"/>
      <c r="AV28" s="341"/>
      <c r="AW28" s="341"/>
      <c r="BD28" s="499"/>
      <c r="BE28" s="96"/>
      <c r="BF28" s="500"/>
      <c r="BG28" s="501"/>
      <c r="BH28" s="432"/>
      <c r="BI28" s="432"/>
      <c r="BJ28" s="432"/>
      <c r="BK28" s="432"/>
      <c r="BL28" s="432"/>
      <c r="BM28" s="432"/>
      <c r="BN28" s="432"/>
      <c r="BO28" s="432"/>
      <c r="BP28" s="432"/>
      <c r="BQ28" s="432"/>
      <c r="BR28" s="432"/>
      <c r="BS28" s="432"/>
      <c r="BT28" s="432"/>
      <c r="BU28" s="432"/>
      <c r="BV28" s="432"/>
      <c r="BW28" s="432"/>
      <c r="BX28" s="432"/>
      <c r="BY28" s="432"/>
      <c r="BZ28" s="432"/>
      <c r="CA28" s="432"/>
      <c r="CB28" s="432"/>
      <c r="CC28" s="432"/>
      <c r="CD28" s="432"/>
      <c r="CE28" s="432"/>
      <c r="CF28" s="432"/>
      <c r="CG28" s="432"/>
      <c r="CH28" s="432"/>
      <c r="CI28" s="432"/>
      <c r="CJ28" s="432"/>
      <c r="CK28" s="432"/>
      <c r="CL28" s="432"/>
      <c r="CM28" s="432"/>
      <c r="CN28" s="432"/>
      <c r="DB28" s="209"/>
      <c r="DC28" s="285"/>
    </row>
    <row r="29" spans="1:107" s="378" customFormat="1" ht="9.75" customHeight="1">
      <c r="A29" s="180"/>
      <c r="B29" s="181"/>
      <c r="C29" s="354" t="s">
        <v>319</v>
      </c>
      <c r="D29" s="270"/>
      <c r="E29" s="457"/>
      <c r="F29" s="354"/>
      <c r="G29" s="354"/>
      <c r="H29" s="221"/>
      <c r="I29" s="222"/>
      <c r="J29" s="223"/>
      <c r="K29" s="222"/>
      <c r="L29" s="223"/>
      <c r="M29" s="222"/>
      <c r="N29" s="223"/>
      <c r="O29" s="222"/>
      <c r="P29" s="223"/>
      <c r="Q29" s="222"/>
      <c r="R29" s="223"/>
      <c r="S29" s="222"/>
      <c r="T29" s="223"/>
      <c r="U29" s="222"/>
      <c r="V29" s="223"/>
      <c r="W29" s="222"/>
      <c r="X29" s="221"/>
      <c r="Y29" s="222"/>
      <c r="Z29" s="221"/>
      <c r="AA29" s="222"/>
      <c r="AB29" s="221"/>
      <c r="AC29" s="222"/>
      <c r="AD29" s="221"/>
      <c r="AE29" s="222"/>
      <c r="AF29" s="221"/>
      <c r="AG29" s="222"/>
      <c r="AH29" s="221"/>
      <c r="AI29" s="222"/>
      <c r="AJ29" s="223"/>
      <c r="AK29" s="222"/>
      <c r="AL29" s="221"/>
      <c r="AM29" s="222"/>
      <c r="AN29" s="221"/>
      <c r="AO29" s="222"/>
      <c r="AP29" s="222"/>
      <c r="AQ29" s="222"/>
      <c r="AR29" s="222"/>
      <c r="AS29" s="222"/>
      <c r="AT29" s="221"/>
      <c r="AU29" s="222"/>
      <c r="AV29" s="222"/>
      <c r="AW29" s="222"/>
      <c r="AX29" s="221"/>
      <c r="AY29" s="222"/>
      <c r="AZ29" s="221"/>
      <c r="BA29" s="222"/>
      <c r="BB29" s="193"/>
      <c r="BC29" s="191"/>
      <c r="BD29" s="364" t="s">
        <v>47</v>
      </c>
      <c r="BE29" s="191"/>
      <c r="BF29" s="432"/>
      <c r="BG29" s="432"/>
      <c r="BH29" s="432"/>
      <c r="BI29" s="432"/>
      <c r="BJ29" s="432"/>
      <c r="BK29" s="432"/>
      <c r="BL29" s="432"/>
      <c r="BM29" s="432"/>
      <c r="BN29" s="432"/>
      <c r="BO29" s="432"/>
      <c r="BP29" s="432"/>
      <c r="BQ29" s="432"/>
      <c r="BR29" s="432"/>
      <c r="BS29" s="432"/>
      <c r="BT29" s="432"/>
      <c r="BU29" s="432"/>
      <c r="BV29" s="432"/>
      <c r="BW29" s="432"/>
      <c r="BX29" s="432"/>
      <c r="BY29" s="432"/>
      <c r="BZ29" s="432"/>
      <c r="CA29" s="432"/>
      <c r="CB29" s="432"/>
      <c r="CC29" s="432"/>
      <c r="CD29" s="432"/>
      <c r="CE29" s="432"/>
      <c r="CF29" s="432"/>
      <c r="CG29" s="432"/>
      <c r="CH29" s="432"/>
      <c r="CI29" s="432"/>
      <c r="CJ29" s="432"/>
      <c r="CK29" s="432"/>
      <c r="CL29" s="432"/>
      <c r="CM29" s="432"/>
      <c r="CN29" s="432"/>
      <c r="CO29" s="432"/>
      <c r="CP29" s="432"/>
      <c r="CQ29" s="432"/>
      <c r="CR29" s="432"/>
      <c r="CS29" s="432"/>
      <c r="CT29" s="432"/>
      <c r="CU29" s="432"/>
      <c r="CV29" s="432"/>
      <c r="CW29" s="432"/>
      <c r="CX29" s="432"/>
      <c r="CY29" s="432"/>
      <c r="CZ29" s="432"/>
      <c r="DA29" s="432"/>
      <c r="DB29" s="209"/>
      <c r="DC29" s="502"/>
    </row>
    <row r="30" spans="3:107" ht="18" customHeight="1">
      <c r="C30" s="278" t="s">
        <v>148</v>
      </c>
      <c r="D30" s="767" t="s">
        <v>268</v>
      </c>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7"/>
      <c r="AL30" s="767"/>
      <c r="AM30" s="767"/>
      <c r="AN30" s="767"/>
      <c r="AO30" s="767"/>
      <c r="AP30" s="767"/>
      <c r="AQ30" s="767"/>
      <c r="AR30" s="767"/>
      <c r="AS30" s="767"/>
      <c r="AT30" s="767"/>
      <c r="AU30" s="767"/>
      <c r="AV30" s="767"/>
      <c r="AW30" s="767"/>
      <c r="AX30" s="767"/>
      <c r="AY30" s="767"/>
      <c r="AZ30" s="767"/>
      <c r="BA30" s="767"/>
      <c r="BB30" s="767"/>
      <c r="BD30" s="233" t="s">
        <v>301</v>
      </c>
      <c r="BE30" s="233" t="s">
        <v>302</v>
      </c>
      <c r="BF30" s="233" t="s">
        <v>305</v>
      </c>
      <c r="BG30" s="232">
        <v>1990</v>
      </c>
      <c r="BH30" s="232"/>
      <c r="BI30" s="233">
        <v>1995</v>
      </c>
      <c r="BJ30" s="233"/>
      <c r="BK30" s="233">
        <v>1996</v>
      </c>
      <c r="BL30" s="233"/>
      <c r="BM30" s="233">
        <v>1997</v>
      </c>
      <c r="BN30" s="233"/>
      <c r="BO30" s="233">
        <v>1998</v>
      </c>
      <c r="BP30" s="233"/>
      <c r="BQ30" s="233">
        <v>1999</v>
      </c>
      <c r="BR30" s="233"/>
      <c r="BS30" s="233">
        <v>2000</v>
      </c>
      <c r="BT30" s="233"/>
      <c r="BU30" s="233">
        <v>2001</v>
      </c>
      <c r="BV30" s="233"/>
      <c r="BW30" s="233">
        <v>2002</v>
      </c>
      <c r="BX30" s="233"/>
      <c r="BY30" s="233">
        <v>2003</v>
      </c>
      <c r="BZ30" s="233"/>
      <c r="CA30" s="233">
        <v>2004</v>
      </c>
      <c r="CB30" s="233"/>
      <c r="CC30" s="233">
        <v>2005</v>
      </c>
      <c r="CD30" s="233"/>
      <c r="CE30" s="233">
        <v>2006</v>
      </c>
      <c r="CF30" s="233"/>
      <c r="CG30" s="233">
        <v>2007</v>
      </c>
      <c r="CH30" s="233"/>
      <c r="CI30" s="233">
        <v>2008</v>
      </c>
      <c r="CJ30" s="233"/>
      <c r="CK30" s="233">
        <v>2009</v>
      </c>
      <c r="CL30" s="233"/>
      <c r="CM30" s="233">
        <v>2010</v>
      </c>
      <c r="CN30" s="233"/>
      <c r="CO30" s="233">
        <v>2011</v>
      </c>
      <c r="CP30" s="233"/>
      <c r="CQ30" s="233">
        <v>2012</v>
      </c>
      <c r="CR30" s="233"/>
      <c r="CS30" s="233">
        <v>2013</v>
      </c>
      <c r="CT30" s="233"/>
      <c r="CU30" s="233">
        <v>2014</v>
      </c>
      <c r="CV30" s="233"/>
      <c r="CW30" s="233">
        <v>2015</v>
      </c>
      <c r="CX30" s="233"/>
      <c r="CY30" s="233">
        <v>2016</v>
      </c>
      <c r="CZ30" s="233"/>
      <c r="DA30" s="233">
        <v>2017</v>
      </c>
      <c r="DB30" s="209"/>
      <c r="DC30" s="285"/>
    </row>
    <row r="31" spans="1:107" ht="32.25" customHeight="1">
      <c r="A31" s="280"/>
      <c r="B31" s="280"/>
      <c r="C31" s="278" t="s">
        <v>148</v>
      </c>
      <c r="D31" s="777" t="s">
        <v>149</v>
      </c>
      <c r="E31" s="777"/>
      <c r="F31" s="777"/>
      <c r="G31" s="777"/>
      <c r="H31" s="777"/>
      <c r="I31" s="777"/>
      <c r="J31" s="777"/>
      <c r="K31" s="777"/>
      <c r="L31" s="777"/>
      <c r="M31" s="777"/>
      <c r="N31" s="777"/>
      <c r="O31" s="777"/>
      <c r="P31" s="777"/>
      <c r="Q31" s="777"/>
      <c r="R31" s="777"/>
      <c r="S31" s="777"/>
      <c r="T31" s="777"/>
      <c r="U31" s="777"/>
      <c r="V31" s="777"/>
      <c r="W31" s="777"/>
      <c r="X31" s="777"/>
      <c r="Y31" s="777"/>
      <c r="Z31" s="777"/>
      <c r="AA31" s="777"/>
      <c r="AB31" s="777"/>
      <c r="AC31" s="777"/>
      <c r="AD31" s="777"/>
      <c r="AE31" s="777"/>
      <c r="AF31" s="777"/>
      <c r="AG31" s="777"/>
      <c r="AH31" s="777"/>
      <c r="AI31" s="777"/>
      <c r="AJ31" s="777"/>
      <c r="AK31" s="777"/>
      <c r="AL31" s="777"/>
      <c r="AM31" s="777"/>
      <c r="AN31" s="777"/>
      <c r="AO31" s="777"/>
      <c r="AP31" s="777"/>
      <c r="AQ31" s="777"/>
      <c r="AR31" s="777"/>
      <c r="AS31" s="777"/>
      <c r="AT31" s="777"/>
      <c r="AU31" s="777"/>
      <c r="AV31" s="777"/>
      <c r="AW31" s="777"/>
      <c r="AX31" s="777"/>
      <c r="AY31" s="777"/>
      <c r="AZ31" s="777"/>
      <c r="BA31" s="777"/>
      <c r="BB31" s="777"/>
      <c r="BC31" s="393"/>
      <c r="BD31" s="376">
        <v>1</v>
      </c>
      <c r="BE31" s="486" t="s">
        <v>91</v>
      </c>
      <c r="BF31" s="82" t="s">
        <v>314</v>
      </c>
      <c r="BG31" s="82">
        <f>F8</f>
        <v>0</v>
      </c>
      <c r="BH31" s="82"/>
      <c r="BI31" s="82">
        <f>H8</f>
        <v>0</v>
      </c>
      <c r="BJ31" s="82"/>
      <c r="BK31" s="82">
        <f>J8</f>
        <v>0</v>
      </c>
      <c r="BL31" s="82"/>
      <c r="BM31" s="82">
        <f>L8</f>
        <v>0</v>
      </c>
      <c r="BN31" s="82"/>
      <c r="BO31" s="82">
        <f>N8</f>
        <v>0</v>
      </c>
      <c r="BP31" s="82"/>
      <c r="BQ31" s="82">
        <f>P8</f>
        <v>0</v>
      </c>
      <c r="BR31" s="82"/>
      <c r="BS31" s="82">
        <f>R8</f>
        <v>0</v>
      </c>
      <c r="BT31" s="82"/>
      <c r="BU31" s="82">
        <f>T8</f>
        <v>0</v>
      </c>
      <c r="BV31" s="82"/>
      <c r="BW31" s="82">
        <f>V8</f>
        <v>0</v>
      </c>
      <c r="BX31" s="82"/>
      <c r="BY31" s="82">
        <f>X8</f>
        <v>0</v>
      </c>
      <c r="BZ31" s="82"/>
      <c r="CA31" s="82">
        <f>Z8</f>
        <v>0</v>
      </c>
      <c r="CB31" s="82"/>
      <c r="CC31" s="82">
        <f>AB8</f>
        <v>0</v>
      </c>
      <c r="CD31" s="82"/>
      <c r="CE31" s="82">
        <f>AD8</f>
        <v>0</v>
      </c>
      <c r="CF31" s="82"/>
      <c r="CG31" s="82">
        <f>AF8</f>
        <v>0</v>
      </c>
      <c r="CH31" s="82"/>
      <c r="CI31" s="82">
        <f>AH8</f>
        <v>0</v>
      </c>
      <c r="CJ31" s="82"/>
      <c r="CK31" s="82">
        <f>AJ8</f>
        <v>0</v>
      </c>
      <c r="CL31" s="82"/>
      <c r="CM31" s="82">
        <f>AL8</f>
        <v>0</v>
      </c>
      <c r="CN31" s="82"/>
      <c r="CO31" s="82">
        <f>AN8</f>
        <v>0</v>
      </c>
      <c r="CP31" s="82"/>
      <c r="CQ31" s="82">
        <f>AP8</f>
        <v>0</v>
      </c>
      <c r="CR31" s="82"/>
      <c r="CS31" s="82">
        <f>AR8</f>
        <v>0</v>
      </c>
      <c r="CT31" s="82"/>
      <c r="CU31" s="82">
        <f>AT8</f>
        <v>0</v>
      </c>
      <c r="CV31" s="82"/>
      <c r="CW31" s="82">
        <f>AV8</f>
        <v>0</v>
      </c>
      <c r="CX31" s="82"/>
      <c r="CY31" s="82">
        <f>AX8</f>
        <v>0</v>
      </c>
      <c r="CZ31" s="82"/>
      <c r="DA31" s="82">
        <f>AZ8</f>
        <v>0</v>
      </c>
      <c r="DB31" s="285"/>
      <c r="DC31" s="285"/>
    </row>
    <row r="32" spans="1:107" ht="34.5" customHeight="1">
      <c r="A32" s="280"/>
      <c r="B32" s="280"/>
      <c r="C32" s="278" t="s">
        <v>148</v>
      </c>
      <c r="D32" s="767" t="s">
        <v>114</v>
      </c>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67"/>
      <c r="AL32" s="767"/>
      <c r="AM32" s="767"/>
      <c r="AN32" s="767"/>
      <c r="AO32" s="767"/>
      <c r="AP32" s="767"/>
      <c r="AQ32" s="767"/>
      <c r="AR32" s="767"/>
      <c r="AS32" s="767"/>
      <c r="AT32" s="767"/>
      <c r="AU32" s="767"/>
      <c r="AV32" s="767"/>
      <c r="AW32" s="767"/>
      <c r="AX32" s="767"/>
      <c r="AY32" s="767"/>
      <c r="AZ32" s="767"/>
      <c r="BA32" s="767"/>
      <c r="BB32" s="767"/>
      <c r="BC32" s="393"/>
      <c r="BD32" s="299">
        <v>21</v>
      </c>
      <c r="BE32" s="284" t="s">
        <v>611</v>
      </c>
      <c r="BF32" s="82" t="s">
        <v>314</v>
      </c>
      <c r="BG32" s="82">
        <f>SUM(F9:F12)+SUM(F14:F16)</f>
        <v>0</v>
      </c>
      <c r="BH32" s="82"/>
      <c r="BI32" s="82">
        <f aca="true" t="shared" si="40" ref="BI32:DA32">SUM(H9:H12)+SUM(H14:H16)</f>
        <v>0</v>
      </c>
      <c r="BJ32" s="82"/>
      <c r="BK32" s="82">
        <f t="shared" si="40"/>
        <v>0</v>
      </c>
      <c r="BL32" s="82"/>
      <c r="BM32" s="82">
        <f t="shared" si="40"/>
        <v>0</v>
      </c>
      <c r="BN32" s="82"/>
      <c r="BO32" s="82">
        <f t="shared" si="40"/>
        <v>0</v>
      </c>
      <c r="BP32" s="82"/>
      <c r="BQ32" s="82">
        <f t="shared" si="40"/>
        <v>0</v>
      </c>
      <c r="BR32" s="82"/>
      <c r="BS32" s="82">
        <f t="shared" si="40"/>
        <v>0</v>
      </c>
      <c r="BT32" s="82"/>
      <c r="BU32" s="82">
        <f t="shared" si="40"/>
        <v>0</v>
      </c>
      <c r="BV32" s="82"/>
      <c r="BW32" s="82">
        <f t="shared" si="40"/>
        <v>0</v>
      </c>
      <c r="BX32" s="82"/>
      <c r="BY32" s="82">
        <f t="shared" si="40"/>
        <v>0</v>
      </c>
      <c r="BZ32" s="82"/>
      <c r="CA32" s="82">
        <f t="shared" si="40"/>
        <v>0</v>
      </c>
      <c r="CB32" s="82"/>
      <c r="CC32" s="82">
        <f t="shared" si="40"/>
        <v>0</v>
      </c>
      <c r="CD32" s="82"/>
      <c r="CE32" s="82">
        <f t="shared" si="40"/>
        <v>0</v>
      </c>
      <c r="CF32" s="82"/>
      <c r="CG32" s="82">
        <f t="shared" si="40"/>
        <v>0</v>
      </c>
      <c r="CH32" s="82"/>
      <c r="CI32" s="82">
        <f t="shared" si="40"/>
        <v>0</v>
      </c>
      <c r="CJ32" s="82"/>
      <c r="CK32" s="82">
        <f t="shared" si="40"/>
        <v>0</v>
      </c>
      <c r="CL32" s="82"/>
      <c r="CM32" s="82">
        <f t="shared" si="40"/>
        <v>0</v>
      </c>
      <c r="CN32" s="82"/>
      <c r="CO32" s="82">
        <f t="shared" si="40"/>
        <v>0</v>
      </c>
      <c r="CP32" s="82"/>
      <c r="CQ32" s="82">
        <f t="shared" si="40"/>
        <v>0</v>
      </c>
      <c r="CR32" s="82"/>
      <c r="CS32" s="82">
        <f t="shared" si="40"/>
        <v>0</v>
      </c>
      <c r="CT32" s="82"/>
      <c r="CU32" s="82">
        <f t="shared" si="40"/>
        <v>0</v>
      </c>
      <c r="CV32" s="82"/>
      <c r="CW32" s="82">
        <f t="shared" si="40"/>
        <v>0</v>
      </c>
      <c r="CX32" s="82"/>
      <c r="CY32" s="82">
        <f t="shared" si="40"/>
        <v>0</v>
      </c>
      <c r="CZ32" s="82"/>
      <c r="DA32" s="82">
        <f t="shared" si="40"/>
        <v>0</v>
      </c>
      <c r="DB32" s="285"/>
      <c r="DC32" s="285"/>
    </row>
    <row r="33" spans="1:105" ht="13.5" customHeight="1">
      <c r="A33" s="280"/>
      <c r="B33" s="280"/>
      <c r="C33" s="278"/>
      <c r="D33" s="771"/>
      <c r="E33" s="771"/>
      <c r="F33" s="771"/>
      <c r="G33" s="771"/>
      <c r="H33" s="771"/>
      <c r="I33" s="771"/>
      <c r="J33" s="771"/>
      <c r="K33" s="771"/>
      <c r="L33" s="771"/>
      <c r="M33" s="771"/>
      <c r="N33" s="771"/>
      <c r="O33" s="771"/>
      <c r="P33" s="771"/>
      <c r="Q33" s="771"/>
      <c r="R33" s="771"/>
      <c r="S33" s="771"/>
      <c r="T33" s="771"/>
      <c r="U33" s="771"/>
      <c r="V33" s="771"/>
      <c r="W33" s="771"/>
      <c r="X33" s="771"/>
      <c r="Y33" s="771"/>
      <c r="Z33" s="771"/>
      <c r="AA33" s="771"/>
      <c r="AB33" s="771"/>
      <c r="AC33" s="771"/>
      <c r="AD33" s="771"/>
      <c r="AE33" s="771"/>
      <c r="AF33" s="771"/>
      <c r="AG33" s="771"/>
      <c r="AH33" s="771"/>
      <c r="AI33" s="771"/>
      <c r="AJ33" s="771"/>
      <c r="AK33" s="771"/>
      <c r="AL33" s="771"/>
      <c r="AM33" s="771"/>
      <c r="AN33" s="771"/>
      <c r="AO33" s="771"/>
      <c r="AP33" s="771"/>
      <c r="AQ33" s="771"/>
      <c r="AR33" s="771"/>
      <c r="AS33" s="771"/>
      <c r="AT33" s="771"/>
      <c r="AU33" s="771"/>
      <c r="AV33" s="771"/>
      <c r="AW33" s="771"/>
      <c r="AX33" s="771"/>
      <c r="AY33" s="771"/>
      <c r="AZ33" s="771"/>
      <c r="BA33" s="771"/>
      <c r="BB33" s="771"/>
      <c r="BC33" s="393"/>
      <c r="BD33" s="287" t="s">
        <v>182</v>
      </c>
      <c r="BE33" s="284" t="s">
        <v>612</v>
      </c>
      <c r="BF33" s="82"/>
      <c r="BG33" s="82" t="str">
        <f>IF(OR(ISBLANK(F8),ISBLANK(F9),ISBLANK(F10),ISBLANK(F11),ISBLANK(F12),ISBLANK(F14),ISBLANK(F15),ISBLANK(F16)),"N/A",IF((BG31=BG32),"ok","&lt;&gt;"))</f>
        <v>N/A</v>
      </c>
      <c r="BH33" s="82"/>
      <c r="BI33" s="82" t="str">
        <f>IF(OR(ISBLANK(H8),ISBLANK(H9),ISBLANK(H10),ISBLANK(H11),ISBLANK(H12),ISBLANK(H14),ISBLANK(H15),ISBLANK(H16)),"N/A",IF((BI31=BI32),"ok","&lt;&gt;"))</f>
        <v>N/A</v>
      </c>
      <c r="BJ33" s="82"/>
      <c r="BK33" s="82" t="str">
        <f aca="true" t="shared" si="41" ref="BK33:DA33">IF(OR(ISBLANK(J8),ISBLANK(J9),ISBLANK(J10),ISBLANK(J11),ISBLANK(J12),ISBLANK(J14),ISBLANK(J15),ISBLANK(J16)),"N/A",IF((BK31=BK32),"ok","&lt;&gt;"))</f>
        <v>N/A</v>
      </c>
      <c r="BL33" s="82"/>
      <c r="BM33" s="82" t="str">
        <f t="shared" si="41"/>
        <v>N/A</v>
      </c>
      <c r="BN33" s="82"/>
      <c r="BO33" s="82" t="str">
        <f t="shared" si="41"/>
        <v>N/A</v>
      </c>
      <c r="BP33" s="82"/>
      <c r="BQ33" s="82" t="str">
        <f t="shared" si="41"/>
        <v>N/A</v>
      </c>
      <c r="BR33" s="82"/>
      <c r="BS33" s="82" t="str">
        <f t="shared" si="41"/>
        <v>N/A</v>
      </c>
      <c r="BT33" s="82"/>
      <c r="BU33" s="82" t="str">
        <f t="shared" si="41"/>
        <v>N/A</v>
      </c>
      <c r="BV33" s="82"/>
      <c r="BW33" s="82" t="str">
        <f t="shared" si="41"/>
        <v>N/A</v>
      </c>
      <c r="BX33" s="82"/>
      <c r="BY33" s="82" t="str">
        <f t="shared" si="41"/>
        <v>N/A</v>
      </c>
      <c r="BZ33" s="82"/>
      <c r="CA33" s="82" t="str">
        <f t="shared" si="41"/>
        <v>N/A</v>
      </c>
      <c r="CB33" s="82"/>
      <c r="CC33" s="82" t="str">
        <f t="shared" si="41"/>
        <v>N/A</v>
      </c>
      <c r="CD33" s="82"/>
      <c r="CE33" s="82" t="str">
        <f t="shared" si="41"/>
        <v>N/A</v>
      </c>
      <c r="CF33" s="82"/>
      <c r="CG33" s="82" t="str">
        <f t="shared" si="41"/>
        <v>N/A</v>
      </c>
      <c r="CH33" s="82"/>
      <c r="CI33" s="82" t="str">
        <f t="shared" si="41"/>
        <v>N/A</v>
      </c>
      <c r="CJ33" s="82"/>
      <c r="CK33" s="82" t="str">
        <f t="shared" si="41"/>
        <v>N/A</v>
      </c>
      <c r="CL33" s="82"/>
      <c r="CM33" s="82" t="str">
        <f t="shared" si="41"/>
        <v>N/A</v>
      </c>
      <c r="CN33" s="82"/>
      <c r="CO33" s="82" t="str">
        <f t="shared" si="41"/>
        <v>N/A</v>
      </c>
      <c r="CP33" s="82"/>
      <c r="CQ33" s="82" t="str">
        <f t="shared" si="41"/>
        <v>N/A</v>
      </c>
      <c r="CR33" s="82"/>
      <c r="CS33" s="82" t="str">
        <f t="shared" si="41"/>
        <v>N/A</v>
      </c>
      <c r="CT33" s="82"/>
      <c r="CU33" s="82" t="str">
        <f t="shared" si="41"/>
        <v>N/A</v>
      </c>
      <c r="CV33" s="82"/>
      <c r="CW33" s="82" t="str">
        <f t="shared" si="41"/>
        <v>N/A</v>
      </c>
      <c r="CX33" s="82"/>
      <c r="CY33" s="82" t="str">
        <f t="shared" si="41"/>
        <v>N/A</v>
      </c>
      <c r="CZ33" s="82"/>
      <c r="DA33" s="82" t="str">
        <f t="shared" si="41"/>
        <v>N/A</v>
      </c>
    </row>
    <row r="34" spans="1:113" ht="28.5" customHeight="1">
      <c r="A34" s="280"/>
      <c r="B34" s="280"/>
      <c r="C34" s="278"/>
      <c r="D34" s="503" t="str">
        <f>D9&amp;" (W4,2)"</f>
        <v>by:
     Agriculture, forestry and fishing ISIC (01-03) (W4,2)</v>
      </c>
      <c r="E34" s="281"/>
      <c r="F34" s="281"/>
      <c r="G34" s="281"/>
      <c r="H34" s="281"/>
      <c r="I34" s="281"/>
      <c r="J34" s="281"/>
      <c r="K34" s="281"/>
      <c r="L34" s="281"/>
      <c r="M34" s="281"/>
      <c r="N34" s="281"/>
      <c r="O34" s="281"/>
      <c r="P34" s="281"/>
      <c r="Q34" s="281"/>
      <c r="R34" s="281"/>
      <c r="S34" s="281"/>
      <c r="T34" s="281"/>
      <c r="U34" s="849" t="str">
        <f>D17&amp;" (W4,10)"</f>
        <v>Wastewater treated in urban wastewater treatment plants (W4,10)</v>
      </c>
      <c r="V34" s="850"/>
      <c r="W34" s="850"/>
      <c r="X34" s="850"/>
      <c r="Y34" s="850"/>
      <c r="Z34" s="850"/>
      <c r="AA34" s="850"/>
      <c r="AB34" s="851"/>
      <c r="AC34" s="281"/>
      <c r="AD34" s="281"/>
      <c r="AE34" s="281"/>
      <c r="AF34" s="281"/>
      <c r="AG34" s="281"/>
      <c r="AH34" s="281"/>
      <c r="AI34" s="289"/>
      <c r="AJ34" s="504"/>
      <c r="AK34" s="504"/>
      <c r="AL34" s="504"/>
      <c r="AM34" s="753"/>
      <c r="AN34" s="753"/>
      <c r="AO34" s="753"/>
      <c r="AP34" s="753"/>
      <c r="AQ34" s="753"/>
      <c r="AR34" s="753"/>
      <c r="AS34" s="753"/>
      <c r="AT34" s="753"/>
      <c r="AU34" s="281"/>
      <c r="AV34" s="281"/>
      <c r="AW34" s="281"/>
      <c r="AX34" s="281"/>
      <c r="AY34" s="281"/>
      <c r="AZ34" s="281"/>
      <c r="BA34" s="281"/>
      <c r="BB34" s="281"/>
      <c r="BC34" s="393"/>
      <c r="BD34" s="299">
        <v>22</v>
      </c>
      <c r="BE34" s="284" t="s">
        <v>613</v>
      </c>
      <c r="BF34" s="82" t="s">
        <v>314</v>
      </c>
      <c r="BG34" s="82">
        <f>F17+F21+F25+F26</f>
        <v>0</v>
      </c>
      <c r="BH34" s="82"/>
      <c r="BI34" s="82">
        <f aca="true" t="shared" si="42" ref="BI34:DA34">H17+H21+H25+H26</f>
        <v>0</v>
      </c>
      <c r="BJ34" s="82"/>
      <c r="BK34" s="82">
        <f t="shared" si="42"/>
        <v>0</v>
      </c>
      <c r="BL34" s="82"/>
      <c r="BM34" s="82">
        <f t="shared" si="42"/>
        <v>0</v>
      </c>
      <c r="BN34" s="82"/>
      <c r="BO34" s="82">
        <f t="shared" si="42"/>
        <v>0</v>
      </c>
      <c r="BP34" s="82"/>
      <c r="BQ34" s="82">
        <f t="shared" si="42"/>
        <v>0</v>
      </c>
      <c r="BR34" s="82"/>
      <c r="BS34" s="82">
        <f t="shared" si="42"/>
        <v>0</v>
      </c>
      <c r="BT34" s="82"/>
      <c r="BU34" s="82">
        <f t="shared" si="42"/>
        <v>0</v>
      </c>
      <c r="BV34" s="82"/>
      <c r="BW34" s="82">
        <f t="shared" si="42"/>
        <v>0</v>
      </c>
      <c r="BX34" s="82"/>
      <c r="BY34" s="82">
        <f t="shared" si="42"/>
        <v>0</v>
      </c>
      <c r="BZ34" s="82"/>
      <c r="CA34" s="82">
        <f t="shared" si="42"/>
        <v>0</v>
      </c>
      <c r="CB34" s="82"/>
      <c r="CC34" s="82">
        <f t="shared" si="42"/>
        <v>0</v>
      </c>
      <c r="CD34" s="82"/>
      <c r="CE34" s="82">
        <f t="shared" si="42"/>
        <v>0</v>
      </c>
      <c r="CF34" s="82"/>
      <c r="CG34" s="82">
        <f t="shared" si="42"/>
        <v>0</v>
      </c>
      <c r="CH34" s="82"/>
      <c r="CI34" s="82">
        <f t="shared" si="42"/>
        <v>0</v>
      </c>
      <c r="CJ34" s="82"/>
      <c r="CK34" s="82">
        <f t="shared" si="42"/>
        <v>0</v>
      </c>
      <c r="CL34" s="82"/>
      <c r="CM34" s="82">
        <f t="shared" si="42"/>
        <v>0</v>
      </c>
      <c r="CN34" s="82"/>
      <c r="CO34" s="82">
        <f t="shared" si="42"/>
        <v>0</v>
      </c>
      <c r="CP34" s="82"/>
      <c r="CQ34" s="82">
        <f t="shared" si="42"/>
        <v>0</v>
      </c>
      <c r="CR34" s="82"/>
      <c r="CS34" s="82">
        <f t="shared" si="42"/>
        <v>0</v>
      </c>
      <c r="CT34" s="82"/>
      <c r="CU34" s="82">
        <f t="shared" si="42"/>
        <v>0</v>
      </c>
      <c r="CV34" s="82"/>
      <c r="CW34" s="82">
        <f t="shared" si="42"/>
        <v>0</v>
      </c>
      <c r="CX34" s="82"/>
      <c r="CY34" s="82">
        <f t="shared" si="42"/>
        <v>0</v>
      </c>
      <c r="CZ34" s="82"/>
      <c r="DA34" s="82">
        <f t="shared" si="42"/>
        <v>0</v>
      </c>
      <c r="DB34" s="285"/>
      <c r="DC34" s="285"/>
      <c r="DD34" s="285"/>
      <c r="DE34" s="285"/>
      <c r="DF34" s="285"/>
      <c r="DG34" s="285"/>
      <c r="DH34" s="285"/>
      <c r="DI34" s="285"/>
    </row>
    <row r="35" spans="1:113" ht="9.75" customHeight="1">
      <c r="A35" s="280"/>
      <c r="B35" s="280"/>
      <c r="C35" s="278"/>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281"/>
      <c r="AE35" s="281"/>
      <c r="AF35" s="281"/>
      <c r="AG35" s="281"/>
      <c r="AH35" s="281"/>
      <c r="AI35" s="289"/>
      <c r="AJ35" s="504"/>
      <c r="AK35" s="504"/>
      <c r="AL35" s="504"/>
      <c r="AM35" s="289"/>
      <c r="AN35" s="289"/>
      <c r="AO35" s="289"/>
      <c r="AP35" s="289"/>
      <c r="AQ35" s="289"/>
      <c r="AR35" s="289"/>
      <c r="AS35" s="289"/>
      <c r="AT35" s="289"/>
      <c r="AU35" s="281"/>
      <c r="AV35" s="281"/>
      <c r="AW35" s="281"/>
      <c r="AX35" s="281"/>
      <c r="AY35" s="281"/>
      <c r="AZ35" s="281"/>
      <c r="BA35" s="281"/>
      <c r="BB35" s="281"/>
      <c r="BC35" s="393"/>
      <c r="BD35" s="287"/>
      <c r="BE35" s="284"/>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285"/>
      <c r="DC35" s="285"/>
      <c r="DD35" s="285"/>
      <c r="DE35" s="285"/>
      <c r="DF35" s="285"/>
      <c r="DG35" s="285"/>
      <c r="DH35" s="285"/>
      <c r="DI35" s="285"/>
    </row>
    <row r="36" spans="1:113" ht="28.5" customHeight="1">
      <c r="A36" s="280"/>
      <c r="B36" s="280"/>
      <c r="C36" s="278"/>
      <c r="D36" s="503" t="str">
        <f>D10&amp;" (W4,3)"</f>
        <v>     Mining and quarrying (ISIC 05-09) (W4,3)</v>
      </c>
      <c r="E36" s="504"/>
      <c r="F36" s="504"/>
      <c r="G36" s="504"/>
      <c r="H36" s="504"/>
      <c r="I36" s="504"/>
      <c r="J36" s="504"/>
      <c r="K36" s="504"/>
      <c r="L36" s="504"/>
      <c r="M36" s="504"/>
      <c r="N36" s="504"/>
      <c r="O36" s="504"/>
      <c r="P36" s="504"/>
      <c r="Q36" s="504"/>
      <c r="R36" s="504"/>
      <c r="S36" s="504"/>
      <c r="T36" s="504"/>
      <c r="U36" s="193"/>
      <c r="V36" s="193"/>
      <c r="W36" s="193"/>
      <c r="X36" s="193"/>
      <c r="Y36" s="193"/>
      <c r="Z36" s="193"/>
      <c r="AA36" s="193"/>
      <c r="AB36" s="193"/>
      <c r="AC36" s="504"/>
      <c r="AD36" s="281"/>
      <c r="AE36" s="281"/>
      <c r="AF36" s="281"/>
      <c r="AG36" s="281"/>
      <c r="AH36" s="281"/>
      <c r="AI36" s="289"/>
      <c r="AJ36" s="504"/>
      <c r="AK36" s="504"/>
      <c r="AL36" s="504"/>
      <c r="AM36" s="289"/>
      <c r="AN36" s="289"/>
      <c r="AO36" s="289"/>
      <c r="AP36" s="289"/>
      <c r="AQ36" s="289"/>
      <c r="AR36" s="289"/>
      <c r="AS36" s="289"/>
      <c r="AT36" s="289"/>
      <c r="AU36" s="281"/>
      <c r="AV36" s="281"/>
      <c r="AW36" s="281"/>
      <c r="AX36" s="281"/>
      <c r="AY36" s="281"/>
      <c r="AZ36" s="281"/>
      <c r="BA36" s="281"/>
      <c r="BB36" s="281"/>
      <c r="BC36" s="393"/>
      <c r="BD36" s="287" t="s">
        <v>182</v>
      </c>
      <c r="BE36" s="508" t="s">
        <v>614</v>
      </c>
      <c r="BF36" s="82"/>
      <c r="BG36" s="82" t="str">
        <f>IF(OR(ISBLANK(F8),ISBLANK(F17),ISBLANK(F21),ISBLANK(F25),ISBLANK(F26)),"N/A",IF((BG31=BG34),"ok","&lt;&gt;"))</f>
        <v>N/A</v>
      </c>
      <c r="BH36" s="82"/>
      <c r="BI36" s="82" t="str">
        <f aca="true" t="shared" si="43" ref="BI36:DA36">IF(OR(ISBLANK(H8),ISBLANK(H17),ISBLANK(H21),ISBLANK(H25),ISBLANK(H26)),"N/A",IF((BI31=BI34),"ok","&lt;&gt;"))</f>
        <v>N/A</v>
      </c>
      <c r="BJ36" s="82"/>
      <c r="BK36" s="82" t="str">
        <f t="shared" si="43"/>
        <v>N/A</v>
      </c>
      <c r="BL36" s="82"/>
      <c r="BM36" s="82" t="str">
        <f t="shared" si="43"/>
        <v>N/A</v>
      </c>
      <c r="BN36" s="82"/>
      <c r="BO36" s="82" t="str">
        <f t="shared" si="43"/>
        <v>N/A</v>
      </c>
      <c r="BP36" s="82"/>
      <c r="BQ36" s="82" t="str">
        <f t="shared" si="43"/>
        <v>N/A</v>
      </c>
      <c r="BR36" s="82"/>
      <c r="BS36" s="82" t="str">
        <f t="shared" si="43"/>
        <v>N/A</v>
      </c>
      <c r="BT36" s="82"/>
      <c r="BU36" s="82" t="str">
        <f t="shared" si="43"/>
        <v>N/A</v>
      </c>
      <c r="BV36" s="82"/>
      <c r="BW36" s="82" t="str">
        <f t="shared" si="43"/>
        <v>N/A</v>
      </c>
      <c r="BX36" s="82"/>
      <c r="BY36" s="82" t="str">
        <f t="shared" si="43"/>
        <v>N/A</v>
      </c>
      <c r="BZ36" s="82"/>
      <c r="CA36" s="82" t="str">
        <f t="shared" si="43"/>
        <v>N/A</v>
      </c>
      <c r="CB36" s="82"/>
      <c r="CC36" s="82" t="str">
        <f t="shared" si="43"/>
        <v>N/A</v>
      </c>
      <c r="CD36" s="82"/>
      <c r="CE36" s="82" t="str">
        <f t="shared" si="43"/>
        <v>N/A</v>
      </c>
      <c r="CF36" s="82"/>
      <c r="CG36" s="82" t="str">
        <f t="shared" si="43"/>
        <v>N/A</v>
      </c>
      <c r="CH36" s="82"/>
      <c r="CI36" s="82" t="str">
        <f t="shared" si="43"/>
        <v>N/A</v>
      </c>
      <c r="CJ36" s="82"/>
      <c r="CK36" s="82" t="str">
        <f t="shared" si="43"/>
        <v>N/A</v>
      </c>
      <c r="CL36" s="82"/>
      <c r="CM36" s="82" t="str">
        <f t="shared" si="43"/>
        <v>N/A</v>
      </c>
      <c r="CN36" s="82"/>
      <c r="CO36" s="82" t="str">
        <f t="shared" si="43"/>
        <v>N/A</v>
      </c>
      <c r="CP36" s="82"/>
      <c r="CQ36" s="82" t="str">
        <f t="shared" si="43"/>
        <v>N/A</v>
      </c>
      <c r="CR36" s="82"/>
      <c r="CS36" s="82" t="str">
        <f t="shared" si="43"/>
        <v>N/A</v>
      </c>
      <c r="CT36" s="82"/>
      <c r="CU36" s="82" t="str">
        <f t="shared" si="43"/>
        <v>N/A</v>
      </c>
      <c r="CV36" s="82"/>
      <c r="CW36" s="82" t="str">
        <f t="shared" si="43"/>
        <v>N/A</v>
      </c>
      <c r="CX36" s="82"/>
      <c r="CY36" s="82" t="str">
        <f t="shared" si="43"/>
        <v>N/A</v>
      </c>
      <c r="CZ36" s="82"/>
      <c r="DA36" s="82" t="str">
        <f t="shared" si="43"/>
        <v>N/A</v>
      </c>
      <c r="DB36" s="285"/>
      <c r="DC36" s="285"/>
      <c r="DD36" s="285"/>
      <c r="DE36" s="285"/>
      <c r="DF36" s="285"/>
      <c r="DG36" s="285"/>
      <c r="DH36" s="285"/>
      <c r="DI36" s="285"/>
    </row>
    <row r="37" spans="1:113" ht="7.5" customHeight="1">
      <c r="A37" s="280"/>
      <c r="B37" s="280"/>
      <c r="C37" s="278"/>
      <c r="D37" s="505"/>
      <c r="E37" s="281"/>
      <c r="F37" s="281"/>
      <c r="G37" s="281"/>
      <c r="H37" s="281"/>
      <c r="I37" s="281"/>
      <c r="J37" s="281"/>
      <c r="K37" s="281"/>
      <c r="L37" s="281"/>
      <c r="M37" s="281"/>
      <c r="N37" s="281"/>
      <c r="O37" s="281"/>
      <c r="P37" s="281"/>
      <c r="Q37" s="281"/>
      <c r="R37" s="281"/>
      <c r="S37" s="281"/>
      <c r="T37" s="281"/>
      <c r="U37" s="281"/>
      <c r="V37" s="281"/>
      <c r="W37" s="281"/>
      <c r="X37" s="281"/>
      <c r="Y37" s="506"/>
      <c r="Z37" s="281"/>
      <c r="AA37" s="281"/>
      <c r="AB37" s="281"/>
      <c r="AC37" s="281"/>
      <c r="AD37" s="281"/>
      <c r="AE37" s="281"/>
      <c r="AF37" s="281"/>
      <c r="AG37" s="281"/>
      <c r="AH37" s="281"/>
      <c r="AI37" s="506"/>
      <c r="AJ37" s="506"/>
      <c r="AK37" s="506"/>
      <c r="AL37" s="506"/>
      <c r="AM37" s="507"/>
      <c r="AN37" s="507"/>
      <c r="AO37" s="507"/>
      <c r="AP37" s="507"/>
      <c r="AQ37" s="507"/>
      <c r="AR37" s="507"/>
      <c r="AS37" s="507"/>
      <c r="AT37" s="507"/>
      <c r="AU37" s="281"/>
      <c r="AV37" s="505"/>
      <c r="AW37" s="505"/>
      <c r="AX37" s="505"/>
      <c r="AY37" s="281"/>
      <c r="AZ37" s="281"/>
      <c r="BA37" s="281"/>
      <c r="BB37" s="281"/>
      <c r="BC37" s="393"/>
      <c r="BD37" s="509"/>
      <c r="BE37" s="510"/>
      <c r="BF37" s="511"/>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285"/>
      <c r="DC37" s="285"/>
      <c r="DD37" s="285"/>
      <c r="DE37" s="285"/>
      <c r="DF37" s="285"/>
      <c r="DG37" s="285"/>
      <c r="DH37" s="285"/>
      <c r="DI37" s="285"/>
    </row>
    <row r="38" spans="1:113" ht="28.5" customHeight="1">
      <c r="A38" s="280"/>
      <c r="B38" s="280"/>
      <c r="C38" s="278"/>
      <c r="D38" s="503" t="str">
        <f>D11&amp;" (W4,4)"</f>
        <v>    Manufacturing (ISIC 10-33) (W4,4)</v>
      </c>
      <c r="E38" s="281"/>
      <c r="F38" s="281"/>
      <c r="G38" s="281"/>
      <c r="H38" s="281"/>
      <c r="I38" s="281"/>
      <c r="J38" s="852" t="str">
        <f>D8&amp;" (W4,1)"</f>
        <v>Total wastewater generated (W4,1)</v>
      </c>
      <c r="K38" s="843"/>
      <c r="L38" s="843"/>
      <c r="M38" s="843"/>
      <c r="N38" s="844"/>
      <c r="O38" s="281"/>
      <c r="P38" s="281"/>
      <c r="Q38" s="281"/>
      <c r="R38" s="281"/>
      <c r="S38" s="281"/>
      <c r="T38" s="281"/>
      <c r="U38" s="849" t="str">
        <f>D21&amp;" (W4,14)"</f>
        <v>Wastewater treated in other treatment plants (W4,14)</v>
      </c>
      <c r="V38" s="850"/>
      <c r="W38" s="850"/>
      <c r="X38" s="850"/>
      <c r="Y38" s="850"/>
      <c r="Z38" s="850"/>
      <c r="AA38" s="850"/>
      <c r="AB38" s="851"/>
      <c r="AC38" s="630"/>
      <c r="AD38" s="630"/>
      <c r="AE38" s="630"/>
      <c r="AF38" s="630"/>
      <c r="AG38" s="630"/>
      <c r="AH38" s="281"/>
      <c r="AI38" s="507"/>
      <c r="AJ38" s="507"/>
      <c r="AK38" s="507"/>
      <c r="AL38" s="507"/>
      <c r="AM38" s="753"/>
      <c r="AN38" s="753"/>
      <c r="AO38" s="753"/>
      <c r="AP38" s="753"/>
      <c r="AQ38" s="753"/>
      <c r="AR38" s="753"/>
      <c r="AS38" s="753"/>
      <c r="AT38" s="753"/>
      <c r="AU38" s="281"/>
      <c r="AV38" s="281"/>
      <c r="AW38" s="281"/>
      <c r="AX38" s="281"/>
      <c r="AY38" s="281"/>
      <c r="AZ38" s="281"/>
      <c r="BA38" s="281"/>
      <c r="BB38" s="281"/>
      <c r="BC38" s="393"/>
      <c r="BD38" s="82">
        <v>14</v>
      </c>
      <c r="BE38" s="248" t="s">
        <v>126</v>
      </c>
      <c r="BF38" s="82" t="s">
        <v>314</v>
      </c>
      <c r="BG38" s="117">
        <f>F17</f>
        <v>0</v>
      </c>
      <c r="BH38" s="117"/>
      <c r="BI38" s="117">
        <f aca="true" t="shared" si="44" ref="BI38:DA38">H17</f>
        <v>0</v>
      </c>
      <c r="BJ38" s="117"/>
      <c r="BK38" s="117">
        <f t="shared" si="44"/>
        <v>0</v>
      </c>
      <c r="BL38" s="117"/>
      <c r="BM38" s="117">
        <f t="shared" si="44"/>
        <v>0</v>
      </c>
      <c r="BN38" s="117"/>
      <c r="BO38" s="117">
        <f t="shared" si="44"/>
        <v>0</v>
      </c>
      <c r="BP38" s="117"/>
      <c r="BQ38" s="117">
        <f t="shared" si="44"/>
        <v>0</v>
      </c>
      <c r="BR38" s="117"/>
      <c r="BS38" s="117">
        <f t="shared" si="44"/>
        <v>0</v>
      </c>
      <c r="BT38" s="117"/>
      <c r="BU38" s="117">
        <f t="shared" si="44"/>
        <v>0</v>
      </c>
      <c r="BV38" s="117"/>
      <c r="BW38" s="117">
        <f t="shared" si="44"/>
        <v>0</v>
      </c>
      <c r="BX38" s="117"/>
      <c r="BY38" s="117">
        <f t="shared" si="44"/>
        <v>0</v>
      </c>
      <c r="BZ38" s="117"/>
      <c r="CA38" s="117">
        <f t="shared" si="44"/>
        <v>0</v>
      </c>
      <c r="CB38" s="117"/>
      <c r="CC38" s="117">
        <f t="shared" si="44"/>
        <v>0</v>
      </c>
      <c r="CD38" s="117"/>
      <c r="CE38" s="117">
        <f t="shared" si="44"/>
        <v>0</v>
      </c>
      <c r="CF38" s="117"/>
      <c r="CG38" s="117">
        <f t="shared" si="44"/>
        <v>0</v>
      </c>
      <c r="CH38" s="117"/>
      <c r="CI38" s="117">
        <f t="shared" si="44"/>
        <v>0</v>
      </c>
      <c r="CJ38" s="117"/>
      <c r="CK38" s="117">
        <f t="shared" si="44"/>
        <v>0</v>
      </c>
      <c r="CL38" s="117"/>
      <c r="CM38" s="117">
        <f t="shared" si="44"/>
        <v>0</v>
      </c>
      <c r="CN38" s="117"/>
      <c r="CO38" s="117">
        <f t="shared" si="44"/>
        <v>0</v>
      </c>
      <c r="CP38" s="117"/>
      <c r="CQ38" s="117">
        <f t="shared" si="44"/>
        <v>0</v>
      </c>
      <c r="CR38" s="117"/>
      <c r="CS38" s="117">
        <f t="shared" si="44"/>
        <v>0</v>
      </c>
      <c r="CT38" s="117"/>
      <c r="CU38" s="117">
        <f t="shared" si="44"/>
        <v>0</v>
      </c>
      <c r="CV38" s="117"/>
      <c r="CW38" s="117">
        <f t="shared" si="44"/>
        <v>0</v>
      </c>
      <c r="CX38" s="117"/>
      <c r="CY38" s="117">
        <f t="shared" si="44"/>
        <v>0</v>
      </c>
      <c r="CZ38" s="117"/>
      <c r="DA38" s="117">
        <f t="shared" si="44"/>
        <v>0</v>
      </c>
      <c r="DB38" s="285"/>
      <c r="DC38" s="285"/>
      <c r="DD38" s="285"/>
      <c r="DE38" s="285"/>
      <c r="DF38" s="285"/>
      <c r="DG38" s="285"/>
      <c r="DH38" s="285"/>
      <c r="DI38" s="285"/>
    </row>
    <row r="39" spans="1:113" ht="9" customHeight="1">
      <c r="A39" s="280"/>
      <c r="B39" s="280"/>
      <c r="C39" s="278"/>
      <c r="D39" s="505"/>
      <c r="E39" s="281"/>
      <c r="F39" s="281"/>
      <c r="G39" s="281"/>
      <c r="H39" s="281"/>
      <c r="I39" s="281"/>
      <c r="J39" s="853"/>
      <c r="K39" s="854"/>
      <c r="L39" s="854"/>
      <c r="M39" s="854"/>
      <c r="N39" s="855"/>
      <c r="O39" s="281"/>
      <c r="P39" s="281"/>
      <c r="Q39" s="281"/>
      <c r="R39" s="281"/>
      <c r="S39" s="281"/>
      <c r="T39" s="281"/>
      <c r="U39" s="281"/>
      <c r="V39" s="281"/>
      <c r="W39" s="281"/>
      <c r="X39" s="506"/>
      <c r="Y39" s="507"/>
      <c r="Z39" s="630"/>
      <c r="AA39" s="630"/>
      <c r="AB39" s="630"/>
      <c r="AC39" s="630"/>
      <c r="AD39" s="630"/>
      <c r="AE39" s="630"/>
      <c r="AF39" s="630"/>
      <c r="AG39" s="630"/>
      <c r="AH39" s="281"/>
      <c r="AI39" s="506"/>
      <c r="AJ39" s="506"/>
      <c r="AK39" s="506"/>
      <c r="AL39" s="506"/>
      <c r="AM39" s="507"/>
      <c r="AN39" s="507"/>
      <c r="AO39" s="507"/>
      <c r="AP39" s="507"/>
      <c r="AQ39" s="507"/>
      <c r="AR39" s="507"/>
      <c r="AS39" s="507"/>
      <c r="AT39" s="507"/>
      <c r="AU39" s="281"/>
      <c r="AV39" s="505"/>
      <c r="AW39" s="505"/>
      <c r="AX39" s="505"/>
      <c r="AY39" s="281"/>
      <c r="AZ39" s="281"/>
      <c r="BA39" s="281"/>
      <c r="BB39" s="281"/>
      <c r="BC39" s="393"/>
      <c r="BD39" s="513"/>
      <c r="BE39" s="511"/>
      <c r="BF39" s="514"/>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285"/>
      <c r="DC39" s="285"/>
      <c r="DD39" s="285"/>
      <c r="DE39" s="285"/>
      <c r="DF39" s="285"/>
      <c r="DG39" s="285"/>
      <c r="DH39" s="285"/>
      <c r="DI39" s="285"/>
    </row>
    <row r="40" spans="1:113" ht="28.5" customHeight="1">
      <c r="A40" s="280"/>
      <c r="B40" s="280"/>
      <c r="C40" s="278"/>
      <c r="D40" s="503" t="str">
        <f>D12&amp;" (W4,5)"</f>
        <v>    Electricity, gas, steam and air conditioning supply  (ISIC 35) (W4,5)</v>
      </c>
      <c r="E40" s="281"/>
      <c r="F40" s="281"/>
      <c r="G40" s="281"/>
      <c r="H40" s="281"/>
      <c r="I40" s="281"/>
      <c r="J40" s="853"/>
      <c r="K40" s="854"/>
      <c r="L40" s="854"/>
      <c r="M40" s="854"/>
      <c r="N40" s="855"/>
      <c r="O40" s="281"/>
      <c r="P40" s="281"/>
      <c r="Q40" s="281"/>
      <c r="R40" s="281"/>
      <c r="S40" s="281"/>
      <c r="T40" s="281"/>
      <c r="U40" s="193"/>
      <c r="V40" s="193"/>
      <c r="W40" s="193"/>
      <c r="X40" s="193"/>
      <c r="Y40" s="193"/>
      <c r="Z40" s="193"/>
      <c r="AA40" s="193"/>
      <c r="AB40" s="193"/>
      <c r="AC40" s="630"/>
      <c r="AD40" s="630"/>
      <c r="AE40" s="630"/>
      <c r="AF40" s="630"/>
      <c r="AG40" s="630"/>
      <c r="AH40" s="281"/>
      <c r="AI40" s="294"/>
      <c r="AJ40" s="416"/>
      <c r="AK40" s="416"/>
      <c r="AL40" s="416"/>
      <c r="AM40" s="753"/>
      <c r="AN40" s="753"/>
      <c r="AO40" s="753"/>
      <c r="AP40" s="753"/>
      <c r="AQ40" s="753"/>
      <c r="AR40" s="753"/>
      <c r="AS40" s="753"/>
      <c r="AT40" s="753"/>
      <c r="AU40" s="281"/>
      <c r="AV40" s="281"/>
      <c r="AW40" s="281"/>
      <c r="AX40" s="281"/>
      <c r="AY40" s="281"/>
      <c r="AZ40" s="281"/>
      <c r="BA40" s="281"/>
      <c r="BB40" s="281"/>
      <c r="BC40" s="393"/>
      <c r="BD40" s="299">
        <v>23</v>
      </c>
      <c r="BE40" s="516" t="s">
        <v>615</v>
      </c>
      <c r="BF40" s="115" t="s">
        <v>314</v>
      </c>
      <c r="BG40" s="117">
        <f>SUM(F18:F20)</f>
        <v>0</v>
      </c>
      <c r="BH40" s="117"/>
      <c r="BI40" s="117">
        <f aca="true" t="shared" si="45" ref="BI40:DA40">SUM(H18:H20)</f>
        <v>0</v>
      </c>
      <c r="BJ40" s="117"/>
      <c r="BK40" s="117">
        <f t="shared" si="45"/>
        <v>0</v>
      </c>
      <c r="BL40" s="117"/>
      <c r="BM40" s="117">
        <f t="shared" si="45"/>
        <v>0</v>
      </c>
      <c r="BN40" s="117"/>
      <c r="BO40" s="117">
        <f t="shared" si="45"/>
        <v>0</v>
      </c>
      <c r="BP40" s="117"/>
      <c r="BQ40" s="117">
        <f t="shared" si="45"/>
        <v>0</v>
      </c>
      <c r="BR40" s="117"/>
      <c r="BS40" s="117">
        <f t="shared" si="45"/>
        <v>0</v>
      </c>
      <c r="BT40" s="117"/>
      <c r="BU40" s="117">
        <f t="shared" si="45"/>
        <v>0</v>
      </c>
      <c r="BV40" s="117"/>
      <c r="BW40" s="117">
        <f t="shared" si="45"/>
        <v>0</v>
      </c>
      <c r="BX40" s="117"/>
      <c r="BY40" s="117">
        <f t="shared" si="45"/>
        <v>0</v>
      </c>
      <c r="BZ40" s="117"/>
      <c r="CA40" s="117">
        <f t="shared" si="45"/>
        <v>0</v>
      </c>
      <c r="CB40" s="117"/>
      <c r="CC40" s="117">
        <f t="shared" si="45"/>
        <v>0</v>
      </c>
      <c r="CD40" s="117"/>
      <c r="CE40" s="117">
        <f t="shared" si="45"/>
        <v>0</v>
      </c>
      <c r="CF40" s="117"/>
      <c r="CG40" s="117">
        <f t="shared" si="45"/>
        <v>0</v>
      </c>
      <c r="CH40" s="117"/>
      <c r="CI40" s="117">
        <f t="shared" si="45"/>
        <v>0</v>
      </c>
      <c r="CJ40" s="117"/>
      <c r="CK40" s="117">
        <f t="shared" si="45"/>
        <v>0</v>
      </c>
      <c r="CL40" s="117"/>
      <c r="CM40" s="117">
        <f t="shared" si="45"/>
        <v>0</v>
      </c>
      <c r="CN40" s="117"/>
      <c r="CO40" s="117">
        <f t="shared" si="45"/>
        <v>0</v>
      </c>
      <c r="CP40" s="117"/>
      <c r="CQ40" s="117">
        <f t="shared" si="45"/>
        <v>0</v>
      </c>
      <c r="CR40" s="117"/>
      <c r="CS40" s="117">
        <f t="shared" si="45"/>
        <v>0</v>
      </c>
      <c r="CT40" s="117"/>
      <c r="CU40" s="117">
        <f t="shared" si="45"/>
        <v>0</v>
      </c>
      <c r="CV40" s="117"/>
      <c r="CW40" s="117">
        <f t="shared" si="45"/>
        <v>0</v>
      </c>
      <c r="CX40" s="117"/>
      <c r="CY40" s="117">
        <f t="shared" si="45"/>
        <v>0</v>
      </c>
      <c r="CZ40" s="117"/>
      <c r="DA40" s="117">
        <f t="shared" si="45"/>
        <v>0</v>
      </c>
      <c r="DB40" s="285"/>
      <c r="DC40" s="285"/>
      <c r="DD40" s="285"/>
      <c r="DE40" s="285"/>
      <c r="DF40" s="285"/>
      <c r="DG40" s="285"/>
      <c r="DH40" s="285"/>
      <c r="DI40" s="285"/>
    </row>
    <row r="41" spans="1:113" ht="11.25" customHeight="1">
      <c r="A41" s="280"/>
      <c r="B41" s="280"/>
      <c r="C41" s="278"/>
      <c r="D41" s="289"/>
      <c r="E41" s="281"/>
      <c r="F41" s="281"/>
      <c r="G41" s="281"/>
      <c r="H41" s="281"/>
      <c r="I41" s="281"/>
      <c r="J41" s="819"/>
      <c r="K41" s="820"/>
      <c r="L41" s="820"/>
      <c r="M41" s="820"/>
      <c r="N41" s="821"/>
      <c r="O41" s="281"/>
      <c r="P41" s="281"/>
      <c r="Q41" s="281"/>
      <c r="R41" s="281"/>
      <c r="S41" s="281"/>
      <c r="T41" s="281"/>
      <c r="U41" s="281"/>
      <c r="V41" s="281"/>
      <c r="W41" s="281"/>
      <c r="X41" s="506"/>
      <c r="Y41" s="507"/>
      <c r="Z41" s="630"/>
      <c r="AA41" s="630"/>
      <c r="AB41" s="630"/>
      <c r="AC41" s="630"/>
      <c r="AD41" s="630"/>
      <c r="AE41" s="630"/>
      <c r="AF41" s="630"/>
      <c r="AG41" s="630"/>
      <c r="AH41" s="281"/>
      <c r="AI41" s="341"/>
      <c r="AJ41" s="506"/>
      <c r="AK41" s="506"/>
      <c r="AL41" s="506"/>
      <c r="AM41" s="507"/>
      <c r="AN41" s="507"/>
      <c r="AO41" s="507"/>
      <c r="AP41" s="507"/>
      <c r="AQ41" s="507"/>
      <c r="AR41" s="507"/>
      <c r="AS41" s="507"/>
      <c r="AT41" s="507"/>
      <c r="AU41" s="281"/>
      <c r="AV41" s="505"/>
      <c r="AW41" s="505"/>
      <c r="AX41" s="505"/>
      <c r="AY41" s="281"/>
      <c r="AZ41" s="281"/>
      <c r="BA41" s="281"/>
      <c r="BB41" s="281"/>
      <c r="BC41" s="512"/>
      <c r="BD41" s="518"/>
      <c r="BE41" s="510"/>
      <c r="BF41" s="511"/>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285"/>
      <c r="DC41" s="285"/>
      <c r="DD41" s="285"/>
      <c r="DE41" s="285"/>
      <c r="DF41" s="285"/>
      <c r="DG41" s="285"/>
      <c r="DH41" s="285"/>
      <c r="DI41" s="285"/>
    </row>
    <row r="42" spans="1:113" ht="28.5" customHeight="1">
      <c r="A42" s="280"/>
      <c r="B42" s="280"/>
      <c r="C42" s="278"/>
      <c r="D42" s="503" t="str">
        <f>D14&amp;" (W4,7)"</f>
        <v>Construction (ISIC 41-43) (W4,7)</v>
      </c>
      <c r="E42" s="281"/>
      <c r="F42" s="281"/>
      <c r="G42" s="281"/>
      <c r="H42" s="281"/>
      <c r="I42" s="281"/>
      <c r="J42" s="623"/>
      <c r="K42" s="623"/>
      <c r="L42" s="623"/>
      <c r="M42" s="623"/>
      <c r="N42" s="623"/>
      <c r="O42" s="281"/>
      <c r="P42" s="281"/>
      <c r="Q42" s="281"/>
      <c r="R42" s="281"/>
      <c r="S42" s="281"/>
      <c r="T42" s="281"/>
      <c r="U42" s="849" t="str">
        <f>D25&amp;" (W4,18)"</f>
        <v>Wastewater treated in independent treatment facilities (W4,18)</v>
      </c>
      <c r="V42" s="850"/>
      <c r="W42" s="850"/>
      <c r="X42" s="850"/>
      <c r="Y42" s="850"/>
      <c r="Z42" s="850"/>
      <c r="AA42" s="850"/>
      <c r="AB42" s="851"/>
      <c r="AC42" s="630"/>
      <c r="AD42" s="630"/>
      <c r="AE42" s="630"/>
      <c r="AF42" s="630"/>
      <c r="AG42" s="630"/>
      <c r="AH42" s="281"/>
      <c r="AI42" s="341"/>
      <c r="AJ42" s="506"/>
      <c r="AK42" s="506"/>
      <c r="AL42" s="506"/>
      <c r="AM42" s="507"/>
      <c r="AN42" s="507"/>
      <c r="AO42" s="507"/>
      <c r="AP42" s="507"/>
      <c r="AQ42" s="507"/>
      <c r="AR42" s="507"/>
      <c r="AS42" s="507"/>
      <c r="AT42" s="507"/>
      <c r="AU42" s="281"/>
      <c r="AV42" s="505"/>
      <c r="AW42" s="505"/>
      <c r="AX42" s="505"/>
      <c r="AY42" s="281"/>
      <c r="AZ42" s="281"/>
      <c r="BA42" s="281"/>
      <c r="BB42" s="281"/>
      <c r="BC42" s="512"/>
      <c r="BD42" s="287" t="s">
        <v>182</v>
      </c>
      <c r="BE42" s="284" t="s">
        <v>616</v>
      </c>
      <c r="BF42" s="82"/>
      <c r="BG42" s="115" t="str">
        <f>IF(OR(ISBLANK(F17),ISBLANK(F18),ISBLANK(F19),ISBLANK(F20)),"N/A",IF((BG38=BG40),"ok","&lt;&gt;"))</f>
        <v>N/A</v>
      </c>
      <c r="BH42" s="115"/>
      <c r="BI42" s="115" t="str">
        <f aca="true" t="shared" si="46" ref="BI42:DA42">IF(OR(ISBLANK(H17),ISBLANK(H18),ISBLANK(H19),ISBLANK(H20)),"N/A",IF((BI38=BI40),"ok","&lt;&gt;"))</f>
        <v>N/A</v>
      </c>
      <c r="BJ42" s="115"/>
      <c r="BK42" s="115" t="str">
        <f t="shared" si="46"/>
        <v>N/A</v>
      </c>
      <c r="BL42" s="115"/>
      <c r="BM42" s="115" t="str">
        <f t="shared" si="46"/>
        <v>N/A</v>
      </c>
      <c r="BN42" s="115"/>
      <c r="BO42" s="115" t="str">
        <f t="shared" si="46"/>
        <v>N/A</v>
      </c>
      <c r="BP42" s="115"/>
      <c r="BQ42" s="115" t="str">
        <f t="shared" si="46"/>
        <v>N/A</v>
      </c>
      <c r="BR42" s="115"/>
      <c r="BS42" s="115" t="str">
        <f t="shared" si="46"/>
        <v>N/A</v>
      </c>
      <c r="BT42" s="115"/>
      <c r="BU42" s="115" t="str">
        <f t="shared" si="46"/>
        <v>N/A</v>
      </c>
      <c r="BV42" s="115"/>
      <c r="BW42" s="115" t="str">
        <f t="shared" si="46"/>
        <v>N/A</v>
      </c>
      <c r="BX42" s="115"/>
      <c r="BY42" s="115" t="str">
        <f t="shared" si="46"/>
        <v>N/A</v>
      </c>
      <c r="BZ42" s="115"/>
      <c r="CA42" s="115" t="str">
        <f t="shared" si="46"/>
        <v>N/A</v>
      </c>
      <c r="CB42" s="115"/>
      <c r="CC42" s="115" t="str">
        <f t="shared" si="46"/>
        <v>N/A</v>
      </c>
      <c r="CD42" s="115"/>
      <c r="CE42" s="115" t="str">
        <f t="shared" si="46"/>
        <v>N/A</v>
      </c>
      <c r="CF42" s="115"/>
      <c r="CG42" s="115" t="str">
        <f t="shared" si="46"/>
        <v>N/A</v>
      </c>
      <c r="CH42" s="115"/>
      <c r="CI42" s="115" t="str">
        <f t="shared" si="46"/>
        <v>N/A</v>
      </c>
      <c r="CJ42" s="115"/>
      <c r="CK42" s="115" t="str">
        <f t="shared" si="46"/>
        <v>N/A</v>
      </c>
      <c r="CL42" s="115"/>
      <c r="CM42" s="115" t="str">
        <f t="shared" si="46"/>
        <v>N/A</v>
      </c>
      <c r="CN42" s="115"/>
      <c r="CO42" s="115" t="str">
        <f t="shared" si="46"/>
        <v>N/A</v>
      </c>
      <c r="CP42" s="115"/>
      <c r="CQ42" s="115" t="str">
        <f t="shared" si="46"/>
        <v>N/A</v>
      </c>
      <c r="CR42" s="115"/>
      <c r="CS42" s="115" t="str">
        <f t="shared" si="46"/>
        <v>N/A</v>
      </c>
      <c r="CT42" s="115"/>
      <c r="CU42" s="115" t="str">
        <f t="shared" si="46"/>
        <v>N/A</v>
      </c>
      <c r="CV42" s="115"/>
      <c r="CW42" s="115" t="str">
        <f t="shared" si="46"/>
        <v>N/A</v>
      </c>
      <c r="CX42" s="115"/>
      <c r="CY42" s="115" t="str">
        <f t="shared" si="46"/>
        <v>N/A</v>
      </c>
      <c r="CZ42" s="115"/>
      <c r="DA42" s="115" t="str">
        <f t="shared" si="46"/>
        <v>N/A</v>
      </c>
      <c r="DB42" s="285"/>
      <c r="DC42" s="285"/>
      <c r="DD42" s="285"/>
      <c r="DE42" s="285"/>
      <c r="DF42" s="285"/>
      <c r="DG42" s="285"/>
      <c r="DH42" s="285"/>
      <c r="DI42" s="285"/>
    </row>
    <row r="43" spans="1:113" ht="11.25" customHeight="1">
      <c r="A43" s="280"/>
      <c r="B43" s="280"/>
      <c r="C43" s="278"/>
      <c r="D43" s="289"/>
      <c r="E43" s="281"/>
      <c r="F43" s="281"/>
      <c r="G43" s="281"/>
      <c r="H43" s="281"/>
      <c r="I43" s="281"/>
      <c r="J43" s="623"/>
      <c r="K43" s="623"/>
      <c r="L43" s="623"/>
      <c r="M43" s="623"/>
      <c r="N43" s="623"/>
      <c r="O43" s="281"/>
      <c r="P43" s="281"/>
      <c r="Q43" s="281"/>
      <c r="R43" s="281"/>
      <c r="S43" s="281"/>
      <c r="T43" s="281"/>
      <c r="U43" s="281"/>
      <c r="V43" s="281"/>
      <c r="W43" s="281"/>
      <c r="X43" s="281"/>
      <c r="Y43" s="281"/>
      <c r="Z43" s="281"/>
      <c r="AA43" s="281"/>
      <c r="AB43" s="281"/>
      <c r="AC43" s="281"/>
      <c r="AD43" s="630"/>
      <c r="AE43" s="630"/>
      <c r="AF43" s="630"/>
      <c r="AG43" s="630"/>
      <c r="AH43" s="281"/>
      <c r="AI43" s="341"/>
      <c r="AJ43" s="506"/>
      <c r="AK43" s="506"/>
      <c r="AL43" s="506"/>
      <c r="AM43" s="507"/>
      <c r="AN43" s="507"/>
      <c r="AO43" s="507"/>
      <c r="AP43" s="507"/>
      <c r="AQ43" s="507"/>
      <c r="AR43" s="507"/>
      <c r="AS43" s="507"/>
      <c r="AT43" s="507"/>
      <c r="AU43" s="281"/>
      <c r="AV43" s="505"/>
      <c r="AW43" s="505"/>
      <c r="AX43" s="505"/>
      <c r="AY43" s="281"/>
      <c r="AZ43" s="281"/>
      <c r="BA43" s="281"/>
      <c r="BB43" s="281"/>
      <c r="BC43" s="512"/>
      <c r="BD43" s="519"/>
      <c r="BE43" s="511"/>
      <c r="BF43" s="511"/>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285"/>
      <c r="DC43" s="285"/>
      <c r="DD43" s="285"/>
      <c r="DE43" s="285"/>
      <c r="DF43" s="285"/>
      <c r="DG43" s="285"/>
      <c r="DH43" s="285"/>
      <c r="DI43" s="285"/>
    </row>
    <row r="44" spans="1:113" ht="28.5" customHeight="1">
      <c r="A44" s="280"/>
      <c r="B44" s="280"/>
      <c r="C44" s="278"/>
      <c r="D44" s="503" t="str">
        <f>D15&amp;" (W4,8)"</f>
        <v>Other economic activities (W4,8)</v>
      </c>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515"/>
      <c r="AJ44" s="416"/>
      <c r="AK44" s="416"/>
      <c r="AL44" s="416"/>
      <c r="AM44" s="753"/>
      <c r="AN44" s="753"/>
      <c r="AO44" s="753"/>
      <c r="AP44" s="753"/>
      <c r="AQ44" s="753"/>
      <c r="AR44" s="753"/>
      <c r="AS44" s="753"/>
      <c r="AT44" s="753"/>
      <c r="AU44" s="281"/>
      <c r="AV44" s="281"/>
      <c r="AW44" s="281"/>
      <c r="AX44" s="281"/>
      <c r="AY44" s="281"/>
      <c r="AZ44" s="281"/>
      <c r="BA44" s="281"/>
      <c r="BB44" s="281"/>
      <c r="BC44" s="512"/>
      <c r="BD44" s="82">
        <v>11</v>
      </c>
      <c r="BE44" s="248" t="s">
        <v>94</v>
      </c>
      <c r="BF44" s="115" t="s">
        <v>314</v>
      </c>
      <c r="BG44" s="117">
        <f>F21</f>
        <v>0</v>
      </c>
      <c r="BH44" s="117"/>
      <c r="BI44" s="117">
        <f aca="true" t="shared" si="47" ref="BI44:DA44">H21</f>
        <v>0</v>
      </c>
      <c r="BJ44" s="117"/>
      <c r="BK44" s="117">
        <f t="shared" si="47"/>
        <v>0</v>
      </c>
      <c r="BL44" s="117"/>
      <c r="BM44" s="117">
        <f t="shared" si="47"/>
        <v>0</v>
      </c>
      <c r="BN44" s="117"/>
      <c r="BO44" s="117">
        <f t="shared" si="47"/>
        <v>0</v>
      </c>
      <c r="BP44" s="117"/>
      <c r="BQ44" s="117">
        <f t="shared" si="47"/>
        <v>0</v>
      </c>
      <c r="BR44" s="117"/>
      <c r="BS44" s="117">
        <f t="shared" si="47"/>
        <v>0</v>
      </c>
      <c r="BT44" s="117"/>
      <c r="BU44" s="117">
        <f t="shared" si="47"/>
        <v>0</v>
      </c>
      <c r="BV44" s="117"/>
      <c r="BW44" s="117">
        <f t="shared" si="47"/>
        <v>0</v>
      </c>
      <c r="BX44" s="117"/>
      <c r="BY44" s="117">
        <f t="shared" si="47"/>
        <v>0</v>
      </c>
      <c r="BZ44" s="117"/>
      <c r="CA44" s="117">
        <f t="shared" si="47"/>
        <v>0</v>
      </c>
      <c r="CB44" s="117"/>
      <c r="CC44" s="117">
        <f t="shared" si="47"/>
        <v>0</v>
      </c>
      <c r="CD44" s="117"/>
      <c r="CE44" s="117">
        <f t="shared" si="47"/>
        <v>0</v>
      </c>
      <c r="CF44" s="117"/>
      <c r="CG44" s="117">
        <f t="shared" si="47"/>
        <v>0</v>
      </c>
      <c r="CH44" s="117"/>
      <c r="CI44" s="117">
        <f t="shared" si="47"/>
        <v>0</v>
      </c>
      <c r="CJ44" s="117"/>
      <c r="CK44" s="117">
        <f t="shared" si="47"/>
        <v>0</v>
      </c>
      <c r="CL44" s="117"/>
      <c r="CM44" s="117">
        <f t="shared" si="47"/>
        <v>0</v>
      </c>
      <c r="CN44" s="117"/>
      <c r="CO44" s="117">
        <f t="shared" si="47"/>
        <v>0</v>
      </c>
      <c r="CP44" s="117"/>
      <c r="CQ44" s="117">
        <f t="shared" si="47"/>
        <v>0</v>
      </c>
      <c r="CR44" s="117"/>
      <c r="CS44" s="117">
        <f t="shared" si="47"/>
        <v>0</v>
      </c>
      <c r="CT44" s="117"/>
      <c r="CU44" s="117">
        <f t="shared" si="47"/>
        <v>0</v>
      </c>
      <c r="CV44" s="117"/>
      <c r="CW44" s="117">
        <f t="shared" si="47"/>
        <v>0</v>
      </c>
      <c r="CX44" s="117"/>
      <c r="CY44" s="117">
        <f t="shared" si="47"/>
        <v>0</v>
      </c>
      <c r="CZ44" s="117"/>
      <c r="DA44" s="117">
        <f t="shared" si="47"/>
        <v>0</v>
      </c>
      <c r="DB44" s="285"/>
      <c r="DC44" s="285"/>
      <c r="DD44" s="285"/>
      <c r="DE44" s="285"/>
      <c r="DF44" s="285"/>
      <c r="DG44" s="285"/>
      <c r="DH44" s="285"/>
      <c r="DI44" s="285"/>
    </row>
    <row r="45" spans="1:113" ht="8.25" customHeight="1">
      <c r="A45" s="280"/>
      <c r="B45" s="280"/>
      <c r="C45" s="278"/>
      <c r="D45" s="517"/>
      <c r="E45" s="281"/>
      <c r="F45" s="281"/>
      <c r="G45" s="281"/>
      <c r="H45" s="281"/>
      <c r="I45" s="281"/>
      <c r="J45" s="281"/>
      <c r="K45" s="281"/>
      <c r="L45" s="281"/>
      <c r="M45" s="281"/>
      <c r="N45" s="281"/>
      <c r="O45" s="281"/>
      <c r="P45" s="281"/>
      <c r="Q45" s="281"/>
      <c r="R45" s="281"/>
      <c r="S45" s="281"/>
      <c r="T45" s="281"/>
      <c r="U45" s="193"/>
      <c r="V45" s="193"/>
      <c r="W45" s="193"/>
      <c r="X45" s="193"/>
      <c r="Y45" s="193"/>
      <c r="Z45" s="193"/>
      <c r="AA45" s="193"/>
      <c r="AB45" s="193"/>
      <c r="AC45" s="281"/>
      <c r="AD45" s="281"/>
      <c r="AE45" s="281"/>
      <c r="AF45" s="281"/>
      <c r="AG45" s="281"/>
      <c r="AH45" s="281"/>
      <c r="AI45" s="281"/>
      <c r="AJ45" s="281"/>
      <c r="AK45" s="281"/>
      <c r="AL45" s="281"/>
      <c r="AM45" s="506"/>
      <c r="AN45" s="506"/>
      <c r="AO45" s="506"/>
      <c r="AP45" s="506"/>
      <c r="AQ45" s="506"/>
      <c r="AR45" s="506"/>
      <c r="AS45" s="506"/>
      <c r="AT45" s="506"/>
      <c r="AU45" s="281"/>
      <c r="AV45" s="281"/>
      <c r="AW45" s="281"/>
      <c r="AX45" s="281"/>
      <c r="AY45" s="281"/>
      <c r="AZ45" s="281"/>
      <c r="BA45" s="281"/>
      <c r="BB45" s="281"/>
      <c r="BC45" s="512"/>
      <c r="BD45" s="520"/>
      <c r="BE45" s="521"/>
      <c r="BF45" s="522"/>
      <c r="BG45" s="523"/>
      <c r="BH45" s="523"/>
      <c r="BI45" s="523"/>
      <c r="BJ45" s="523"/>
      <c r="BK45" s="523"/>
      <c r="BL45" s="523"/>
      <c r="BM45" s="523"/>
      <c r="BN45" s="523"/>
      <c r="BO45" s="523"/>
      <c r="BP45" s="523"/>
      <c r="BQ45" s="523"/>
      <c r="BR45" s="523"/>
      <c r="BS45" s="523"/>
      <c r="BT45" s="523"/>
      <c r="BU45" s="523"/>
      <c r="BV45" s="523"/>
      <c r="BW45" s="523"/>
      <c r="BX45" s="523"/>
      <c r="BY45" s="523"/>
      <c r="BZ45" s="523"/>
      <c r="CA45" s="523"/>
      <c r="CB45" s="523"/>
      <c r="CC45" s="523"/>
      <c r="CD45" s="523"/>
      <c r="CE45" s="523"/>
      <c r="CF45" s="523"/>
      <c r="CG45" s="523"/>
      <c r="CH45" s="523"/>
      <c r="CI45" s="523"/>
      <c r="CJ45" s="523"/>
      <c r="CK45" s="523"/>
      <c r="CL45" s="523"/>
      <c r="CM45" s="523"/>
      <c r="CN45" s="523"/>
      <c r="CO45" s="523"/>
      <c r="CP45" s="523"/>
      <c r="CQ45" s="523"/>
      <c r="CR45" s="523"/>
      <c r="CS45" s="523"/>
      <c r="CT45" s="523"/>
      <c r="CU45" s="523"/>
      <c r="CV45" s="523"/>
      <c r="CW45" s="523"/>
      <c r="CX45" s="523"/>
      <c r="CY45" s="523"/>
      <c r="CZ45" s="523"/>
      <c r="DA45" s="523"/>
      <c r="DB45" s="285"/>
      <c r="DC45" s="285"/>
      <c r="DD45" s="285"/>
      <c r="DE45" s="285"/>
      <c r="DF45" s="285"/>
      <c r="DG45" s="285"/>
      <c r="DH45" s="285"/>
      <c r="DI45" s="285"/>
    </row>
    <row r="46" spans="3:113" ht="28.5" customHeight="1">
      <c r="C46" s="396"/>
      <c r="D46" s="503" t="str">
        <f>D16&amp;" (W4,6)"</f>
        <v>Households (W4,6)</v>
      </c>
      <c r="E46" s="281"/>
      <c r="F46" s="281"/>
      <c r="G46" s="281"/>
      <c r="H46" s="281"/>
      <c r="I46" s="281"/>
      <c r="J46" s="281"/>
      <c r="K46" s="281"/>
      <c r="L46" s="281"/>
      <c r="M46" s="281"/>
      <c r="N46" s="281"/>
      <c r="O46" s="281"/>
      <c r="P46" s="281"/>
      <c r="Q46" s="281"/>
      <c r="R46" s="281"/>
      <c r="S46" s="281"/>
      <c r="T46" s="281"/>
      <c r="U46" s="849" t="str">
        <f>D26&amp;" (W4,19)"</f>
        <v>Non-treated wastewater (W4,19)</v>
      </c>
      <c r="V46" s="850"/>
      <c r="W46" s="850"/>
      <c r="X46" s="850"/>
      <c r="Y46" s="850"/>
      <c r="Z46" s="850"/>
      <c r="AA46" s="850"/>
      <c r="AB46" s="851"/>
      <c r="AC46" s="281"/>
      <c r="AD46" s="281"/>
      <c r="AE46" s="281"/>
      <c r="AF46" s="281"/>
      <c r="AG46" s="281"/>
      <c r="AH46" s="281"/>
      <c r="AI46" s="281"/>
      <c r="AJ46" s="281"/>
      <c r="AK46" s="281"/>
      <c r="AL46" s="281"/>
      <c r="AM46" s="506"/>
      <c r="AN46" s="506"/>
      <c r="AO46" s="506"/>
      <c r="AP46" s="506"/>
      <c r="AQ46" s="506"/>
      <c r="AR46" s="506"/>
      <c r="AS46" s="506"/>
      <c r="AT46" s="506"/>
      <c r="AU46" s="470"/>
      <c r="AV46" s="281"/>
      <c r="AW46" s="281"/>
      <c r="AX46" s="281"/>
      <c r="AY46" s="470"/>
      <c r="AZ46" s="470"/>
      <c r="BA46" s="470"/>
      <c r="BB46" s="470"/>
      <c r="BD46" s="299">
        <v>24</v>
      </c>
      <c r="BE46" s="284" t="s">
        <v>617</v>
      </c>
      <c r="BF46" s="82" t="s">
        <v>314</v>
      </c>
      <c r="BG46" s="115">
        <f>SUM(F22:F24)</f>
        <v>0</v>
      </c>
      <c r="BH46" s="115"/>
      <c r="BI46" s="115">
        <f aca="true" t="shared" si="48" ref="BI46:DA46">SUM(H22:H24)</f>
        <v>0</v>
      </c>
      <c r="BJ46" s="115"/>
      <c r="BK46" s="115">
        <f t="shared" si="48"/>
        <v>0</v>
      </c>
      <c r="BL46" s="115"/>
      <c r="BM46" s="115">
        <f t="shared" si="48"/>
        <v>0</v>
      </c>
      <c r="BN46" s="115"/>
      <c r="BO46" s="115">
        <f t="shared" si="48"/>
        <v>0</v>
      </c>
      <c r="BP46" s="115"/>
      <c r="BQ46" s="115">
        <f t="shared" si="48"/>
        <v>0</v>
      </c>
      <c r="BR46" s="115"/>
      <c r="BS46" s="115">
        <f t="shared" si="48"/>
        <v>0</v>
      </c>
      <c r="BT46" s="115"/>
      <c r="BU46" s="115">
        <f t="shared" si="48"/>
        <v>0</v>
      </c>
      <c r="BV46" s="115"/>
      <c r="BW46" s="115">
        <f t="shared" si="48"/>
        <v>0</v>
      </c>
      <c r="BX46" s="115"/>
      <c r="BY46" s="115">
        <f t="shared" si="48"/>
        <v>0</v>
      </c>
      <c r="BZ46" s="115"/>
      <c r="CA46" s="115">
        <f t="shared" si="48"/>
        <v>0</v>
      </c>
      <c r="CB46" s="115"/>
      <c r="CC46" s="115">
        <f t="shared" si="48"/>
        <v>0</v>
      </c>
      <c r="CD46" s="115"/>
      <c r="CE46" s="115">
        <f t="shared" si="48"/>
        <v>0</v>
      </c>
      <c r="CF46" s="115"/>
      <c r="CG46" s="115">
        <f t="shared" si="48"/>
        <v>0</v>
      </c>
      <c r="CH46" s="115"/>
      <c r="CI46" s="115">
        <f t="shared" si="48"/>
        <v>0</v>
      </c>
      <c r="CJ46" s="115"/>
      <c r="CK46" s="115">
        <f t="shared" si="48"/>
        <v>0</v>
      </c>
      <c r="CL46" s="115"/>
      <c r="CM46" s="115">
        <f t="shared" si="48"/>
        <v>0</v>
      </c>
      <c r="CN46" s="115"/>
      <c r="CO46" s="115">
        <f t="shared" si="48"/>
        <v>0</v>
      </c>
      <c r="CP46" s="115"/>
      <c r="CQ46" s="115">
        <f t="shared" si="48"/>
        <v>0</v>
      </c>
      <c r="CR46" s="115"/>
      <c r="CS46" s="115">
        <f t="shared" si="48"/>
        <v>0</v>
      </c>
      <c r="CT46" s="115"/>
      <c r="CU46" s="115">
        <f t="shared" si="48"/>
        <v>0</v>
      </c>
      <c r="CV46" s="115"/>
      <c r="CW46" s="115">
        <f t="shared" si="48"/>
        <v>0</v>
      </c>
      <c r="CX46" s="115"/>
      <c r="CY46" s="115">
        <f t="shared" si="48"/>
        <v>0</v>
      </c>
      <c r="CZ46" s="115"/>
      <c r="DA46" s="115">
        <f t="shared" si="48"/>
        <v>0</v>
      </c>
      <c r="DB46" s="285"/>
      <c r="DC46" s="285"/>
      <c r="DD46" s="285"/>
      <c r="DE46" s="285"/>
      <c r="DF46" s="285"/>
      <c r="DG46" s="285"/>
      <c r="DH46" s="285"/>
      <c r="DI46" s="285"/>
    </row>
    <row r="47" spans="3:113" ht="13.5" customHeight="1">
      <c r="C47" s="396"/>
      <c r="D47" s="498"/>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470"/>
      <c r="AV47" s="281"/>
      <c r="AW47" s="281"/>
      <c r="AX47" s="281"/>
      <c r="AY47" s="470"/>
      <c r="AZ47" s="470"/>
      <c r="BA47" s="470"/>
      <c r="BB47" s="470"/>
      <c r="BD47" s="313" t="s">
        <v>182</v>
      </c>
      <c r="BE47" s="314" t="s">
        <v>238</v>
      </c>
      <c r="BF47" s="95"/>
      <c r="BG47" s="524" t="str">
        <f>IF(OR(ISBLANK(F21),ISBLANK(F22),ISBLANK(F23),ISBLANK(F24)),"N/A",IF((BG44=BG46),"ok","&lt;&gt;"))</f>
        <v>N/A</v>
      </c>
      <c r="BH47" s="524"/>
      <c r="BI47" s="524" t="str">
        <f aca="true" t="shared" si="49" ref="BI47:DA47">IF(OR(ISBLANK(H21),ISBLANK(H22),ISBLANK(H23),ISBLANK(H24)),"N/A",IF((BI44=BI46),"ok","&lt;&gt;"))</f>
        <v>N/A</v>
      </c>
      <c r="BJ47" s="524"/>
      <c r="BK47" s="524" t="str">
        <f t="shared" si="49"/>
        <v>N/A</v>
      </c>
      <c r="BL47" s="524"/>
      <c r="BM47" s="524" t="str">
        <f t="shared" si="49"/>
        <v>N/A</v>
      </c>
      <c r="BN47" s="524"/>
      <c r="BO47" s="524" t="str">
        <f t="shared" si="49"/>
        <v>N/A</v>
      </c>
      <c r="BP47" s="524"/>
      <c r="BQ47" s="524" t="str">
        <f t="shared" si="49"/>
        <v>N/A</v>
      </c>
      <c r="BR47" s="524"/>
      <c r="BS47" s="524" t="str">
        <f t="shared" si="49"/>
        <v>N/A</v>
      </c>
      <c r="BT47" s="524"/>
      <c r="BU47" s="524" t="str">
        <f t="shared" si="49"/>
        <v>N/A</v>
      </c>
      <c r="BV47" s="524"/>
      <c r="BW47" s="524" t="str">
        <f t="shared" si="49"/>
        <v>N/A</v>
      </c>
      <c r="BX47" s="524"/>
      <c r="BY47" s="524" t="str">
        <f t="shared" si="49"/>
        <v>N/A</v>
      </c>
      <c r="BZ47" s="524"/>
      <c r="CA47" s="524" t="str">
        <f t="shared" si="49"/>
        <v>N/A</v>
      </c>
      <c r="CB47" s="524"/>
      <c r="CC47" s="524" t="str">
        <f t="shared" si="49"/>
        <v>N/A</v>
      </c>
      <c r="CD47" s="524"/>
      <c r="CE47" s="524" t="str">
        <f t="shared" si="49"/>
        <v>N/A</v>
      </c>
      <c r="CF47" s="524"/>
      <c r="CG47" s="524" t="str">
        <f t="shared" si="49"/>
        <v>N/A</v>
      </c>
      <c r="CH47" s="524"/>
      <c r="CI47" s="524" t="str">
        <f t="shared" si="49"/>
        <v>N/A</v>
      </c>
      <c r="CJ47" s="524"/>
      <c r="CK47" s="524" t="str">
        <f t="shared" si="49"/>
        <v>N/A</v>
      </c>
      <c r="CL47" s="524"/>
      <c r="CM47" s="524" t="str">
        <f t="shared" si="49"/>
        <v>N/A</v>
      </c>
      <c r="CN47" s="524"/>
      <c r="CO47" s="524" t="str">
        <f t="shared" si="49"/>
        <v>N/A</v>
      </c>
      <c r="CP47" s="524"/>
      <c r="CQ47" s="524" t="str">
        <f t="shared" si="49"/>
        <v>N/A</v>
      </c>
      <c r="CR47" s="524"/>
      <c r="CS47" s="524" t="str">
        <f t="shared" si="49"/>
        <v>N/A</v>
      </c>
      <c r="CT47" s="524"/>
      <c r="CU47" s="524" t="str">
        <f t="shared" si="49"/>
        <v>N/A</v>
      </c>
      <c r="CV47" s="524"/>
      <c r="CW47" s="524" t="str">
        <f t="shared" si="49"/>
        <v>N/A</v>
      </c>
      <c r="CX47" s="524"/>
      <c r="CY47" s="524" t="str">
        <f t="shared" si="49"/>
        <v>N/A</v>
      </c>
      <c r="CZ47" s="524"/>
      <c r="DA47" s="524" t="str">
        <f t="shared" si="49"/>
        <v>N/A</v>
      </c>
      <c r="DB47" s="285"/>
      <c r="DC47" s="285"/>
      <c r="DD47" s="285"/>
      <c r="DE47" s="285"/>
      <c r="DF47" s="285"/>
      <c r="DG47" s="285"/>
      <c r="DH47" s="285"/>
      <c r="DI47" s="285"/>
    </row>
    <row r="48" spans="1:113" ht="14.25" customHeight="1">
      <c r="A48" s="430"/>
      <c r="B48" s="417">
        <v>1</v>
      </c>
      <c r="C48" s="301" t="s">
        <v>312</v>
      </c>
      <c r="D48" s="397"/>
      <c r="E48" s="301"/>
      <c r="F48" s="213"/>
      <c r="G48" s="213"/>
      <c r="H48" s="304"/>
      <c r="I48" s="305"/>
      <c r="J48" s="306"/>
      <c r="K48" s="305"/>
      <c r="L48" s="306"/>
      <c r="M48" s="305"/>
      <c r="N48" s="306"/>
      <c r="O48" s="305"/>
      <c r="P48" s="306"/>
      <c r="Q48" s="305"/>
      <c r="R48" s="306"/>
      <c r="S48" s="305"/>
      <c r="T48" s="306"/>
      <c r="U48" s="305"/>
      <c r="V48" s="306"/>
      <c r="W48" s="305"/>
      <c r="X48" s="304"/>
      <c r="Y48" s="305"/>
      <c r="Z48" s="304"/>
      <c r="AA48" s="305"/>
      <c r="AB48" s="304"/>
      <c r="AC48" s="305"/>
      <c r="AD48" s="304"/>
      <c r="AE48" s="305"/>
      <c r="AF48" s="304"/>
      <c r="AG48" s="398"/>
      <c r="AH48" s="304"/>
      <c r="AI48" s="305"/>
      <c r="AJ48" s="306"/>
      <c r="AK48" s="305"/>
      <c r="AL48" s="304"/>
      <c r="AM48" s="305"/>
      <c r="AN48" s="304"/>
      <c r="AO48" s="305"/>
      <c r="AP48" s="305"/>
      <c r="AQ48" s="305"/>
      <c r="AR48" s="305"/>
      <c r="AS48" s="305"/>
      <c r="AT48" s="356"/>
      <c r="AU48" s="355"/>
      <c r="AV48" s="305"/>
      <c r="AW48" s="305"/>
      <c r="AX48" s="356"/>
      <c r="AY48" s="355"/>
      <c r="AZ48" s="356"/>
      <c r="BA48" s="355"/>
      <c r="BB48" s="437"/>
      <c r="BC48" s="472"/>
      <c r="BD48" s="315" t="s">
        <v>57</v>
      </c>
      <c r="BE48" s="316" t="s">
        <v>58</v>
      </c>
      <c r="BF48" s="280"/>
      <c r="BG48" s="525"/>
      <c r="BH48" s="525"/>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526"/>
      <c r="CH48" s="525"/>
      <c r="CI48" s="280"/>
      <c r="CJ48" s="280"/>
      <c r="CK48" s="280"/>
      <c r="CL48" s="280"/>
      <c r="CM48" s="280"/>
      <c r="CN48" s="280"/>
      <c r="CO48" s="280"/>
      <c r="CP48" s="280"/>
      <c r="CQ48" s="280"/>
      <c r="CR48" s="280"/>
      <c r="CS48" s="280"/>
      <c r="CT48" s="280"/>
      <c r="CU48" s="280"/>
      <c r="CV48" s="280"/>
      <c r="CW48" s="280"/>
      <c r="CX48" s="280"/>
      <c r="CY48" s="280"/>
      <c r="CZ48" s="280"/>
      <c r="DA48" s="280"/>
      <c r="DB48" s="285"/>
      <c r="DC48" s="285"/>
      <c r="DD48" s="285"/>
      <c r="DE48" s="285"/>
      <c r="DF48" s="285"/>
      <c r="DG48" s="285"/>
      <c r="DH48" s="285"/>
      <c r="DI48" s="285"/>
    </row>
    <row r="49" spans="1:105" s="202" customFormat="1" ht="11.25" customHeight="1">
      <c r="A49" s="180"/>
      <c r="B49" s="181"/>
      <c r="C49" s="399"/>
      <c r="D49" s="399"/>
      <c r="E49" s="400"/>
      <c r="F49" s="342"/>
      <c r="G49" s="342"/>
      <c r="H49" s="338"/>
      <c r="I49" s="339"/>
      <c r="J49" s="340"/>
      <c r="K49" s="339"/>
      <c r="L49" s="340"/>
      <c r="M49" s="339"/>
      <c r="N49" s="340"/>
      <c r="O49" s="339"/>
      <c r="P49" s="340"/>
      <c r="Q49" s="339"/>
      <c r="R49" s="340"/>
      <c r="S49" s="339"/>
      <c r="T49" s="340"/>
      <c r="U49" s="339"/>
      <c r="V49" s="340"/>
      <c r="W49" s="339"/>
      <c r="X49" s="338"/>
      <c r="Y49" s="339"/>
      <c r="Z49" s="338"/>
      <c r="AA49" s="339"/>
      <c r="AB49" s="338"/>
      <c r="AC49" s="339"/>
      <c r="AD49" s="338"/>
      <c r="AE49" s="339"/>
      <c r="AF49" s="338"/>
      <c r="AG49" s="401"/>
      <c r="AH49" s="338"/>
      <c r="AI49" s="339"/>
      <c r="AJ49" s="340"/>
      <c r="AK49" s="339"/>
      <c r="AL49" s="338"/>
      <c r="AM49" s="341"/>
      <c r="AN49" s="336"/>
      <c r="AO49" s="341"/>
      <c r="AP49" s="341"/>
      <c r="AQ49" s="341"/>
      <c r="AR49" s="341"/>
      <c r="AS49" s="341"/>
      <c r="AT49" s="221"/>
      <c r="AU49" s="222"/>
      <c r="AV49" s="341"/>
      <c r="AW49" s="341"/>
      <c r="AX49" s="221"/>
      <c r="AY49" s="222"/>
      <c r="AZ49" s="221"/>
      <c r="BA49" s="222"/>
      <c r="BB49" s="193"/>
      <c r="BC49" s="191"/>
      <c r="BD49" s="315" t="s">
        <v>59</v>
      </c>
      <c r="BE49" s="316" t="s">
        <v>60</v>
      </c>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row>
    <row r="50" spans="1:105" s="202" customFormat="1" ht="11.25" customHeight="1">
      <c r="A50" s="180"/>
      <c r="B50" s="181"/>
      <c r="C50" s="312" t="s">
        <v>307</v>
      </c>
      <c r="D50" s="402" t="s">
        <v>310</v>
      </c>
      <c r="E50" s="402"/>
      <c r="F50" s="403"/>
      <c r="G50" s="403"/>
      <c r="H50" s="404"/>
      <c r="I50" s="405"/>
      <c r="J50" s="406"/>
      <c r="K50" s="405"/>
      <c r="L50" s="406"/>
      <c r="M50" s="405"/>
      <c r="N50" s="406"/>
      <c r="O50" s="405"/>
      <c r="P50" s="406"/>
      <c r="Q50" s="405"/>
      <c r="R50" s="406"/>
      <c r="S50" s="405"/>
      <c r="T50" s="406"/>
      <c r="U50" s="405"/>
      <c r="V50" s="406"/>
      <c r="W50" s="405"/>
      <c r="X50" s="404"/>
      <c r="Y50" s="405"/>
      <c r="Z50" s="404"/>
      <c r="AA50" s="405"/>
      <c r="AB50" s="404"/>
      <c r="AC50" s="405"/>
      <c r="AD50" s="404"/>
      <c r="AE50" s="405"/>
      <c r="AF50" s="404"/>
      <c r="AG50" s="407"/>
      <c r="AH50" s="404"/>
      <c r="AI50" s="405"/>
      <c r="AJ50" s="406"/>
      <c r="AK50" s="405"/>
      <c r="AL50" s="404"/>
      <c r="AM50" s="405"/>
      <c r="AN50" s="404"/>
      <c r="AO50" s="405"/>
      <c r="AP50" s="405"/>
      <c r="AQ50" s="405"/>
      <c r="AR50" s="405"/>
      <c r="AS50" s="405"/>
      <c r="AT50" s="404"/>
      <c r="AU50" s="405"/>
      <c r="AV50" s="405"/>
      <c r="AW50" s="405"/>
      <c r="AX50" s="404"/>
      <c r="AY50" s="405"/>
      <c r="AZ50" s="404"/>
      <c r="BA50" s="405"/>
      <c r="BB50" s="475"/>
      <c r="BC50" s="191"/>
      <c r="BD50" s="317" t="s">
        <v>62</v>
      </c>
      <c r="BE50" s="316" t="s">
        <v>64</v>
      </c>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row>
    <row r="51" spans="1:105" s="431" customFormat="1" ht="18" customHeight="1">
      <c r="A51" s="180"/>
      <c r="B51" s="181"/>
      <c r="C51" s="542"/>
      <c r="D51" s="778"/>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80"/>
      <c r="BC51" s="191"/>
      <c r="BD51" s="317" t="s">
        <v>61</v>
      </c>
      <c r="BE51" s="316" t="s">
        <v>13</v>
      </c>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525"/>
      <c r="CH51" s="280"/>
      <c r="CI51" s="280"/>
      <c r="CJ51" s="280"/>
      <c r="CK51" s="280"/>
      <c r="CL51" s="280"/>
      <c r="CM51" s="280"/>
      <c r="CN51" s="280"/>
      <c r="CO51" s="280"/>
      <c r="CP51" s="280"/>
      <c r="CQ51" s="280"/>
      <c r="CR51" s="280"/>
      <c r="CS51" s="280"/>
      <c r="CT51" s="280"/>
      <c r="CU51" s="280"/>
      <c r="CV51" s="280"/>
      <c r="CW51" s="280"/>
      <c r="CX51" s="280"/>
      <c r="CY51" s="280"/>
      <c r="CZ51" s="280"/>
      <c r="DA51" s="280"/>
    </row>
    <row r="52" spans="3:105" ht="18" customHeight="1">
      <c r="C52" s="542"/>
      <c r="D52" s="755"/>
      <c r="E52" s="756"/>
      <c r="F52" s="756"/>
      <c r="G52" s="756"/>
      <c r="H52" s="756"/>
      <c r="I52" s="756"/>
      <c r="J52" s="756"/>
      <c r="K52" s="756"/>
      <c r="L52" s="756"/>
      <c r="M52" s="756"/>
      <c r="N52" s="756"/>
      <c r="O52" s="756"/>
      <c r="P52" s="756"/>
      <c r="Q52" s="756"/>
      <c r="R52" s="756"/>
      <c r="S52" s="756"/>
      <c r="T52" s="756"/>
      <c r="U52" s="756"/>
      <c r="V52" s="756"/>
      <c r="W52" s="756"/>
      <c r="X52" s="756"/>
      <c r="Y52" s="756"/>
      <c r="Z52" s="756"/>
      <c r="AA52" s="756"/>
      <c r="AB52" s="756"/>
      <c r="AC52" s="756"/>
      <c r="AD52" s="756"/>
      <c r="AE52" s="756"/>
      <c r="AF52" s="756"/>
      <c r="AG52" s="756"/>
      <c r="AH52" s="756"/>
      <c r="AI52" s="756"/>
      <c r="AJ52" s="756"/>
      <c r="AK52" s="756"/>
      <c r="AL52" s="756"/>
      <c r="AM52" s="756"/>
      <c r="AN52" s="756"/>
      <c r="AO52" s="756"/>
      <c r="AP52" s="756"/>
      <c r="AQ52" s="756"/>
      <c r="AR52" s="756"/>
      <c r="AS52" s="756"/>
      <c r="AT52" s="756"/>
      <c r="AU52" s="756"/>
      <c r="AV52" s="756"/>
      <c r="AW52" s="756"/>
      <c r="AX52" s="756"/>
      <c r="AY52" s="756"/>
      <c r="AZ52" s="756"/>
      <c r="BA52" s="756"/>
      <c r="BB52" s="757"/>
      <c r="BD52" s="315"/>
      <c r="BE52" s="316"/>
      <c r="BF52" s="280"/>
      <c r="BG52" s="525"/>
      <c r="BH52" s="525"/>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525"/>
      <c r="CH52" s="525"/>
      <c r="CI52" s="280"/>
      <c r="CJ52" s="280"/>
      <c r="CK52" s="280"/>
      <c r="CL52" s="280"/>
      <c r="CM52" s="280"/>
      <c r="CN52" s="280"/>
      <c r="CO52" s="280"/>
      <c r="CP52" s="280"/>
      <c r="CQ52" s="280"/>
      <c r="CR52" s="280"/>
      <c r="CS52" s="280"/>
      <c r="CT52" s="280"/>
      <c r="CU52" s="280"/>
      <c r="CV52" s="280"/>
      <c r="CW52" s="280"/>
      <c r="CX52" s="280"/>
      <c r="CY52" s="280"/>
      <c r="CZ52" s="280"/>
      <c r="DA52" s="280"/>
    </row>
    <row r="53" spans="3:105" ht="18" customHeight="1">
      <c r="C53" s="542"/>
      <c r="D53" s="755"/>
      <c r="E53" s="756"/>
      <c r="F53" s="756"/>
      <c r="G53" s="756"/>
      <c r="H53" s="756"/>
      <c r="I53" s="756"/>
      <c r="J53" s="756"/>
      <c r="K53" s="756"/>
      <c r="L53" s="756"/>
      <c r="M53" s="756"/>
      <c r="N53" s="756"/>
      <c r="O53" s="756"/>
      <c r="P53" s="756"/>
      <c r="Q53" s="756"/>
      <c r="R53" s="756"/>
      <c r="S53" s="756"/>
      <c r="T53" s="756"/>
      <c r="U53" s="756"/>
      <c r="V53" s="756"/>
      <c r="W53" s="756"/>
      <c r="X53" s="756"/>
      <c r="Y53" s="756"/>
      <c r="Z53" s="756"/>
      <c r="AA53" s="756"/>
      <c r="AB53" s="756"/>
      <c r="AC53" s="756"/>
      <c r="AD53" s="756"/>
      <c r="AE53" s="756"/>
      <c r="AF53" s="756"/>
      <c r="AG53" s="756"/>
      <c r="AH53" s="756"/>
      <c r="AI53" s="756"/>
      <c r="AJ53" s="756"/>
      <c r="AK53" s="756"/>
      <c r="AL53" s="756"/>
      <c r="AM53" s="756"/>
      <c r="AN53" s="756"/>
      <c r="AO53" s="756"/>
      <c r="AP53" s="756"/>
      <c r="AQ53" s="756"/>
      <c r="AR53" s="756"/>
      <c r="AS53" s="756"/>
      <c r="AT53" s="756"/>
      <c r="AU53" s="756"/>
      <c r="AV53" s="756"/>
      <c r="AW53" s="756"/>
      <c r="AX53" s="756"/>
      <c r="AY53" s="756"/>
      <c r="AZ53" s="756"/>
      <c r="BA53" s="756"/>
      <c r="BB53" s="757"/>
      <c r="BD53" s="315"/>
      <c r="BE53" s="316"/>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row>
    <row r="54" spans="3:105" ht="18" customHeight="1">
      <c r="C54" s="542"/>
      <c r="D54" s="755"/>
      <c r="E54" s="756"/>
      <c r="F54" s="756"/>
      <c r="G54" s="756"/>
      <c r="H54" s="756"/>
      <c r="I54" s="756"/>
      <c r="J54" s="756"/>
      <c r="K54" s="756"/>
      <c r="L54" s="756"/>
      <c r="M54" s="756"/>
      <c r="N54" s="756"/>
      <c r="O54" s="756"/>
      <c r="P54" s="756"/>
      <c r="Q54" s="756"/>
      <c r="R54" s="756"/>
      <c r="S54" s="756"/>
      <c r="T54" s="756"/>
      <c r="U54" s="756"/>
      <c r="V54" s="756"/>
      <c r="W54" s="756"/>
      <c r="X54" s="756"/>
      <c r="Y54" s="756"/>
      <c r="Z54" s="756"/>
      <c r="AA54" s="756"/>
      <c r="AB54" s="756"/>
      <c r="AC54" s="756"/>
      <c r="AD54" s="756"/>
      <c r="AE54" s="756"/>
      <c r="AF54" s="756"/>
      <c r="AG54" s="756"/>
      <c r="AH54" s="756"/>
      <c r="AI54" s="756"/>
      <c r="AJ54" s="756"/>
      <c r="AK54" s="756"/>
      <c r="AL54" s="756"/>
      <c r="AM54" s="756"/>
      <c r="AN54" s="756"/>
      <c r="AO54" s="756"/>
      <c r="AP54" s="756"/>
      <c r="AQ54" s="756"/>
      <c r="AR54" s="756"/>
      <c r="AS54" s="756"/>
      <c r="AT54" s="756"/>
      <c r="AU54" s="756"/>
      <c r="AV54" s="756"/>
      <c r="AW54" s="756"/>
      <c r="AX54" s="756"/>
      <c r="AY54" s="756"/>
      <c r="AZ54" s="756"/>
      <c r="BA54" s="756"/>
      <c r="BB54" s="757"/>
      <c r="BD54" s="317"/>
      <c r="BE54" s="316"/>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row>
    <row r="55" spans="3:105" ht="18" customHeight="1">
      <c r="C55" s="542"/>
      <c r="D55" s="755"/>
      <c r="E55" s="756"/>
      <c r="F55" s="756"/>
      <c r="G55" s="756"/>
      <c r="H55" s="756"/>
      <c r="I55" s="756"/>
      <c r="J55" s="756"/>
      <c r="K55" s="756"/>
      <c r="L55" s="756"/>
      <c r="M55" s="756"/>
      <c r="N55" s="756"/>
      <c r="O55" s="756"/>
      <c r="P55" s="756"/>
      <c r="Q55" s="756"/>
      <c r="R55" s="756"/>
      <c r="S55" s="756"/>
      <c r="T55" s="756"/>
      <c r="U55" s="756"/>
      <c r="V55" s="756"/>
      <c r="W55" s="756"/>
      <c r="X55" s="756"/>
      <c r="Y55" s="756"/>
      <c r="Z55" s="756"/>
      <c r="AA55" s="756"/>
      <c r="AB55" s="756"/>
      <c r="AC55" s="756"/>
      <c r="AD55" s="756"/>
      <c r="AE55" s="756"/>
      <c r="AF55" s="756"/>
      <c r="AG55" s="756"/>
      <c r="AH55" s="756"/>
      <c r="AI55" s="756"/>
      <c r="AJ55" s="756"/>
      <c r="AK55" s="756"/>
      <c r="AL55" s="756"/>
      <c r="AM55" s="756"/>
      <c r="AN55" s="756"/>
      <c r="AO55" s="756"/>
      <c r="AP55" s="756"/>
      <c r="AQ55" s="756"/>
      <c r="AR55" s="756"/>
      <c r="AS55" s="756"/>
      <c r="AT55" s="756"/>
      <c r="AU55" s="756"/>
      <c r="AV55" s="756"/>
      <c r="AW55" s="756"/>
      <c r="AX55" s="756"/>
      <c r="AY55" s="756"/>
      <c r="AZ55" s="756"/>
      <c r="BA55" s="756"/>
      <c r="BB55" s="757"/>
      <c r="BD55" s="317"/>
      <c r="BE55" s="316"/>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row>
    <row r="56" spans="3:54" ht="18" customHeight="1">
      <c r="C56" s="542"/>
      <c r="D56" s="755"/>
      <c r="E56" s="756"/>
      <c r="F56" s="756"/>
      <c r="G56" s="756"/>
      <c r="H56" s="756"/>
      <c r="I56" s="756"/>
      <c r="J56" s="756"/>
      <c r="K56" s="756"/>
      <c r="L56" s="756"/>
      <c r="M56" s="756"/>
      <c r="N56" s="756"/>
      <c r="O56" s="756"/>
      <c r="P56" s="756"/>
      <c r="Q56" s="756"/>
      <c r="R56" s="756"/>
      <c r="S56" s="756"/>
      <c r="T56" s="756"/>
      <c r="U56" s="756"/>
      <c r="V56" s="756"/>
      <c r="W56" s="756"/>
      <c r="X56" s="756"/>
      <c r="Y56" s="756"/>
      <c r="Z56" s="756"/>
      <c r="AA56" s="756"/>
      <c r="AB56" s="756"/>
      <c r="AC56" s="756"/>
      <c r="AD56" s="756"/>
      <c r="AE56" s="756"/>
      <c r="AF56" s="756"/>
      <c r="AG56" s="756"/>
      <c r="AH56" s="756"/>
      <c r="AI56" s="756"/>
      <c r="AJ56" s="756"/>
      <c r="AK56" s="756"/>
      <c r="AL56" s="756"/>
      <c r="AM56" s="756"/>
      <c r="AN56" s="756"/>
      <c r="AO56" s="756"/>
      <c r="AP56" s="756"/>
      <c r="AQ56" s="756"/>
      <c r="AR56" s="756"/>
      <c r="AS56" s="756"/>
      <c r="AT56" s="756"/>
      <c r="AU56" s="756"/>
      <c r="AV56" s="756"/>
      <c r="AW56" s="756"/>
      <c r="AX56" s="756"/>
      <c r="AY56" s="756"/>
      <c r="AZ56" s="756"/>
      <c r="BA56" s="756"/>
      <c r="BB56" s="757"/>
    </row>
    <row r="57" spans="3:54" ht="18" customHeight="1">
      <c r="C57" s="542"/>
      <c r="D57" s="755"/>
      <c r="E57" s="756"/>
      <c r="F57" s="756"/>
      <c r="G57" s="756"/>
      <c r="H57" s="756"/>
      <c r="I57" s="756"/>
      <c r="J57" s="756"/>
      <c r="K57" s="756"/>
      <c r="L57" s="756"/>
      <c r="M57" s="756"/>
      <c r="N57" s="756"/>
      <c r="O57" s="756"/>
      <c r="P57" s="756"/>
      <c r="Q57" s="756"/>
      <c r="R57" s="756"/>
      <c r="S57" s="756"/>
      <c r="T57" s="756"/>
      <c r="U57" s="756"/>
      <c r="V57" s="756"/>
      <c r="W57" s="756"/>
      <c r="X57" s="756"/>
      <c r="Y57" s="756"/>
      <c r="Z57" s="756"/>
      <c r="AA57" s="756"/>
      <c r="AB57" s="756"/>
      <c r="AC57" s="756"/>
      <c r="AD57" s="756"/>
      <c r="AE57" s="756"/>
      <c r="AF57" s="756"/>
      <c r="AG57" s="756"/>
      <c r="AH57" s="756"/>
      <c r="AI57" s="756"/>
      <c r="AJ57" s="756"/>
      <c r="AK57" s="756"/>
      <c r="AL57" s="756"/>
      <c r="AM57" s="756"/>
      <c r="AN57" s="756"/>
      <c r="AO57" s="756"/>
      <c r="AP57" s="756"/>
      <c r="AQ57" s="756"/>
      <c r="AR57" s="756"/>
      <c r="AS57" s="756"/>
      <c r="AT57" s="756"/>
      <c r="AU57" s="756"/>
      <c r="AV57" s="756"/>
      <c r="AW57" s="756"/>
      <c r="AX57" s="756"/>
      <c r="AY57" s="756"/>
      <c r="AZ57" s="756"/>
      <c r="BA57" s="756"/>
      <c r="BB57" s="757"/>
    </row>
    <row r="58" spans="3:54" ht="18" customHeight="1">
      <c r="C58" s="542"/>
      <c r="D58" s="755"/>
      <c r="E58" s="756"/>
      <c r="F58" s="756"/>
      <c r="G58" s="756"/>
      <c r="H58" s="756"/>
      <c r="I58" s="756"/>
      <c r="J58" s="756"/>
      <c r="K58" s="756"/>
      <c r="L58" s="756"/>
      <c r="M58" s="756"/>
      <c r="N58" s="756"/>
      <c r="O58" s="756"/>
      <c r="P58" s="756"/>
      <c r="Q58" s="756"/>
      <c r="R58" s="756"/>
      <c r="S58" s="756"/>
      <c r="T58" s="756"/>
      <c r="U58" s="756"/>
      <c r="V58" s="756"/>
      <c r="W58" s="756"/>
      <c r="X58" s="756"/>
      <c r="Y58" s="756"/>
      <c r="Z58" s="756"/>
      <c r="AA58" s="756"/>
      <c r="AB58" s="756"/>
      <c r="AC58" s="756"/>
      <c r="AD58" s="756"/>
      <c r="AE58" s="756"/>
      <c r="AF58" s="756"/>
      <c r="AG58" s="756"/>
      <c r="AH58" s="756"/>
      <c r="AI58" s="756"/>
      <c r="AJ58" s="756"/>
      <c r="AK58" s="756"/>
      <c r="AL58" s="756"/>
      <c r="AM58" s="756"/>
      <c r="AN58" s="756"/>
      <c r="AO58" s="756"/>
      <c r="AP58" s="756"/>
      <c r="AQ58" s="756"/>
      <c r="AR58" s="756"/>
      <c r="AS58" s="756"/>
      <c r="AT58" s="756"/>
      <c r="AU58" s="756"/>
      <c r="AV58" s="756"/>
      <c r="AW58" s="756"/>
      <c r="AX58" s="756"/>
      <c r="AY58" s="756"/>
      <c r="AZ58" s="756"/>
      <c r="BA58" s="756"/>
      <c r="BB58" s="757"/>
    </row>
    <row r="59" spans="3:54" ht="18" customHeight="1">
      <c r="C59" s="542"/>
      <c r="D59" s="778"/>
      <c r="E59" s="779"/>
      <c r="F59" s="779"/>
      <c r="G59" s="779"/>
      <c r="H59" s="779"/>
      <c r="I59" s="779"/>
      <c r="J59" s="779"/>
      <c r="K59" s="779"/>
      <c r="L59" s="779"/>
      <c r="M59" s="779"/>
      <c r="N59" s="779"/>
      <c r="O59" s="779"/>
      <c r="P59" s="779"/>
      <c r="Q59" s="779"/>
      <c r="R59" s="779"/>
      <c r="S59" s="779"/>
      <c r="T59" s="779"/>
      <c r="U59" s="779"/>
      <c r="V59" s="779"/>
      <c r="W59" s="779"/>
      <c r="X59" s="779"/>
      <c r="Y59" s="779"/>
      <c r="Z59" s="779"/>
      <c r="AA59" s="779"/>
      <c r="AB59" s="779"/>
      <c r="AC59" s="779"/>
      <c r="AD59" s="779"/>
      <c r="AE59" s="779"/>
      <c r="AF59" s="779"/>
      <c r="AG59" s="779"/>
      <c r="AH59" s="779"/>
      <c r="AI59" s="779"/>
      <c r="AJ59" s="779"/>
      <c r="AK59" s="779"/>
      <c r="AL59" s="779"/>
      <c r="AM59" s="779"/>
      <c r="AN59" s="779"/>
      <c r="AO59" s="779"/>
      <c r="AP59" s="779"/>
      <c r="AQ59" s="779"/>
      <c r="AR59" s="779"/>
      <c r="AS59" s="779"/>
      <c r="AT59" s="779"/>
      <c r="AU59" s="779"/>
      <c r="AV59" s="779"/>
      <c r="AW59" s="779"/>
      <c r="AX59" s="779"/>
      <c r="AY59" s="779"/>
      <c r="AZ59" s="779"/>
      <c r="BA59" s="779"/>
      <c r="BB59" s="780"/>
    </row>
    <row r="60" spans="3:54" ht="18" customHeight="1">
      <c r="C60" s="542"/>
      <c r="D60" s="755"/>
      <c r="E60" s="756"/>
      <c r="F60" s="756"/>
      <c r="G60" s="756"/>
      <c r="H60" s="756"/>
      <c r="I60" s="756"/>
      <c r="J60" s="756"/>
      <c r="K60" s="756"/>
      <c r="L60" s="756"/>
      <c r="M60" s="756"/>
      <c r="N60" s="756"/>
      <c r="O60" s="756"/>
      <c r="P60" s="756"/>
      <c r="Q60" s="756"/>
      <c r="R60" s="756"/>
      <c r="S60" s="756"/>
      <c r="T60" s="756"/>
      <c r="U60" s="756"/>
      <c r="V60" s="756"/>
      <c r="W60" s="756"/>
      <c r="X60" s="756"/>
      <c r="Y60" s="756"/>
      <c r="Z60" s="756"/>
      <c r="AA60" s="756"/>
      <c r="AB60" s="756"/>
      <c r="AC60" s="756"/>
      <c r="AD60" s="756"/>
      <c r="AE60" s="756"/>
      <c r="AF60" s="756"/>
      <c r="AG60" s="756"/>
      <c r="AH60" s="756"/>
      <c r="AI60" s="756"/>
      <c r="AJ60" s="756"/>
      <c r="AK60" s="756"/>
      <c r="AL60" s="756"/>
      <c r="AM60" s="756"/>
      <c r="AN60" s="756"/>
      <c r="AO60" s="756"/>
      <c r="AP60" s="756"/>
      <c r="AQ60" s="756"/>
      <c r="AR60" s="756"/>
      <c r="AS60" s="756"/>
      <c r="AT60" s="756"/>
      <c r="AU60" s="756"/>
      <c r="AV60" s="756"/>
      <c r="AW60" s="756"/>
      <c r="AX60" s="756"/>
      <c r="AY60" s="756"/>
      <c r="AZ60" s="756"/>
      <c r="BA60" s="756"/>
      <c r="BB60" s="757"/>
    </row>
    <row r="61" spans="3:54" ht="18" customHeight="1">
      <c r="C61" s="542"/>
      <c r="D61" s="755"/>
      <c r="E61" s="756"/>
      <c r="F61" s="756"/>
      <c r="G61" s="756"/>
      <c r="H61" s="756"/>
      <c r="I61" s="756"/>
      <c r="J61" s="756"/>
      <c r="K61" s="756"/>
      <c r="L61" s="756"/>
      <c r="M61" s="756"/>
      <c r="N61" s="756"/>
      <c r="O61" s="756"/>
      <c r="P61" s="756"/>
      <c r="Q61" s="756"/>
      <c r="R61" s="756"/>
      <c r="S61" s="756"/>
      <c r="T61" s="756"/>
      <c r="U61" s="756"/>
      <c r="V61" s="756"/>
      <c r="W61" s="756"/>
      <c r="X61" s="756"/>
      <c r="Y61" s="756"/>
      <c r="Z61" s="756"/>
      <c r="AA61" s="756"/>
      <c r="AB61" s="756"/>
      <c r="AC61" s="756"/>
      <c r="AD61" s="756"/>
      <c r="AE61" s="756"/>
      <c r="AF61" s="756"/>
      <c r="AG61" s="756"/>
      <c r="AH61" s="756"/>
      <c r="AI61" s="756"/>
      <c r="AJ61" s="756"/>
      <c r="AK61" s="756"/>
      <c r="AL61" s="756"/>
      <c r="AM61" s="756"/>
      <c r="AN61" s="756"/>
      <c r="AO61" s="756"/>
      <c r="AP61" s="756"/>
      <c r="AQ61" s="756"/>
      <c r="AR61" s="756"/>
      <c r="AS61" s="756"/>
      <c r="AT61" s="756"/>
      <c r="AU61" s="756"/>
      <c r="AV61" s="756"/>
      <c r="AW61" s="756"/>
      <c r="AX61" s="756"/>
      <c r="AY61" s="756"/>
      <c r="AZ61" s="756"/>
      <c r="BA61" s="756"/>
      <c r="BB61" s="757"/>
    </row>
    <row r="62" spans="3:54" ht="18" customHeight="1">
      <c r="C62" s="542"/>
      <c r="D62" s="755"/>
      <c r="E62" s="756"/>
      <c r="F62" s="756"/>
      <c r="G62" s="756"/>
      <c r="H62" s="756"/>
      <c r="I62" s="756"/>
      <c r="J62" s="756"/>
      <c r="K62" s="756"/>
      <c r="L62" s="756"/>
      <c r="M62" s="756"/>
      <c r="N62" s="756"/>
      <c r="O62" s="756"/>
      <c r="P62" s="756"/>
      <c r="Q62" s="756"/>
      <c r="R62" s="756"/>
      <c r="S62" s="756"/>
      <c r="T62" s="756"/>
      <c r="U62" s="756"/>
      <c r="V62" s="756"/>
      <c r="W62" s="756"/>
      <c r="X62" s="756"/>
      <c r="Y62" s="756"/>
      <c r="Z62" s="756"/>
      <c r="AA62" s="756"/>
      <c r="AB62" s="756"/>
      <c r="AC62" s="756"/>
      <c r="AD62" s="756"/>
      <c r="AE62" s="756"/>
      <c r="AF62" s="756"/>
      <c r="AG62" s="756"/>
      <c r="AH62" s="756"/>
      <c r="AI62" s="756"/>
      <c r="AJ62" s="756"/>
      <c r="AK62" s="756"/>
      <c r="AL62" s="756"/>
      <c r="AM62" s="756"/>
      <c r="AN62" s="756"/>
      <c r="AO62" s="756"/>
      <c r="AP62" s="756"/>
      <c r="AQ62" s="756"/>
      <c r="AR62" s="756"/>
      <c r="AS62" s="756"/>
      <c r="AT62" s="756"/>
      <c r="AU62" s="756"/>
      <c r="AV62" s="756"/>
      <c r="AW62" s="756"/>
      <c r="AX62" s="756"/>
      <c r="AY62" s="756"/>
      <c r="AZ62" s="756"/>
      <c r="BA62" s="756"/>
      <c r="BB62" s="757"/>
    </row>
    <row r="63" spans="3:54" ht="18" customHeight="1">
      <c r="C63" s="542"/>
      <c r="D63" s="755"/>
      <c r="E63" s="756"/>
      <c r="F63" s="756"/>
      <c r="G63" s="756"/>
      <c r="H63" s="756"/>
      <c r="I63" s="756"/>
      <c r="J63" s="756"/>
      <c r="K63" s="756"/>
      <c r="L63" s="756"/>
      <c r="M63" s="756"/>
      <c r="N63" s="756"/>
      <c r="O63" s="756"/>
      <c r="P63" s="756"/>
      <c r="Q63" s="756"/>
      <c r="R63" s="756"/>
      <c r="S63" s="756"/>
      <c r="T63" s="756"/>
      <c r="U63" s="756"/>
      <c r="V63" s="756"/>
      <c r="W63" s="756"/>
      <c r="X63" s="756"/>
      <c r="Y63" s="756"/>
      <c r="Z63" s="756"/>
      <c r="AA63" s="756"/>
      <c r="AB63" s="756"/>
      <c r="AC63" s="756"/>
      <c r="AD63" s="756"/>
      <c r="AE63" s="756"/>
      <c r="AF63" s="756"/>
      <c r="AG63" s="756"/>
      <c r="AH63" s="756"/>
      <c r="AI63" s="756"/>
      <c r="AJ63" s="756"/>
      <c r="AK63" s="756"/>
      <c r="AL63" s="756"/>
      <c r="AM63" s="756"/>
      <c r="AN63" s="756"/>
      <c r="AO63" s="756"/>
      <c r="AP63" s="756"/>
      <c r="AQ63" s="756"/>
      <c r="AR63" s="756"/>
      <c r="AS63" s="756"/>
      <c r="AT63" s="756"/>
      <c r="AU63" s="756"/>
      <c r="AV63" s="756"/>
      <c r="AW63" s="756"/>
      <c r="AX63" s="756"/>
      <c r="AY63" s="756"/>
      <c r="AZ63" s="756"/>
      <c r="BA63" s="756"/>
      <c r="BB63" s="757"/>
    </row>
    <row r="64" spans="3:54" ht="18" customHeight="1">
      <c r="C64" s="542"/>
      <c r="D64" s="755"/>
      <c r="E64" s="756"/>
      <c r="F64" s="756"/>
      <c r="G64" s="756"/>
      <c r="H64" s="756"/>
      <c r="I64" s="756"/>
      <c r="J64" s="756"/>
      <c r="K64" s="756"/>
      <c r="L64" s="756"/>
      <c r="M64" s="756"/>
      <c r="N64" s="756"/>
      <c r="O64" s="756"/>
      <c r="P64" s="756"/>
      <c r="Q64" s="756"/>
      <c r="R64" s="756"/>
      <c r="S64" s="756"/>
      <c r="T64" s="756"/>
      <c r="U64" s="756"/>
      <c r="V64" s="756"/>
      <c r="W64" s="756"/>
      <c r="X64" s="756"/>
      <c r="Y64" s="756"/>
      <c r="Z64" s="756"/>
      <c r="AA64" s="756"/>
      <c r="AB64" s="756"/>
      <c r="AC64" s="756"/>
      <c r="AD64" s="756"/>
      <c r="AE64" s="756"/>
      <c r="AF64" s="756"/>
      <c r="AG64" s="756"/>
      <c r="AH64" s="756"/>
      <c r="AI64" s="756"/>
      <c r="AJ64" s="756"/>
      <c r="AK64" s="756"/>
      <c r="AL64" s="756"/>
      <c r="AM64" s="756"/>
      <c r="AN64" s="756"/>
      <c r="AO64" s="756"/>
      <c r="AP64" s="756"/>
      <c r="AQ64" s="756"/>
      <c r="AR64" s="756"/>
      <c r="AS64" s="756"/>
      <c r="AT64" s="756"/>
      <c r="AU64" s="756"/>
      <c r="AV64" s="756"/>
      <c r="AW64" s="756"/>
      <c r="AX64" s="756"/>
      <c r="AY64" s="756"/>
      <c r="AZ64" s="756"/>
      <c r="BA64" s="756"/>
      <c r="BB64" s="757"/>
    </row>
    <row r="65" spans="3:54" ht="18" customHeight="1">
      <c r="C65" s="542"/>
      <c r="D65" s="755"/>
      <c r="E65" s="756"/>
      <c r="F65" s="756"/>
      <c r="G65" s="756"/>
      <c r="H65" s="756"/>
      <c r="I65" s="756"/>
      <c r="J65" s="756"/>
      <c r="K65" s="756"/>
      <c r="L65" s="756"/>
      <c r="M65" s="756"/>
      <c r="N65" s="756"/>
      <c r="O65" s="756"/>
      <c r="P65" s="756"/>
      <c r="Q65" s="756"/>
      <c r="R65" s="756"/>
      <c r="S65" s="756"/>
      <c r="T65" s="756"/>
      <c r="U65" s="756"/>
      <c r="V65" s="756"/>
      <c r="W65" s="756"/>
      <c r="X65" s="756"/>
      <c r="Y65" s="756"/>
      <c r="Z65" s="756"/>
      <c r="AA65" s="756"/>
      <c r="AB65" s="756"/>
      <c r="AC65" s="756"/>
      <c r="AD65" s="756"/>
      <c r="AE65" s="756"/>
      <c r="AF65" s="756"/>
      <c r="AG65" s="756"/>
      <c r="AH65" s="756"/>
      <c r="AI65" s="756"/>
      <c r="AJ65" s="756"/>
      <c r="AK65" s="756"/>
      <c r="AL65" s="756"/>
      <c r="AM65" s="756"/>
      <c r="AN65" s="756"/>
      <c r="AO65" s="756"/>
      <c r="AP65" s="756"/>
      <c r="AQ65" s="756"/>
      <c r="AR65" s="756"/>
      <c r="AS65" s="756"/>
      <c r="AT65" s="756"/>
      <c r="AU65" s="756"/>
      <c r="AV65" s="756"/>
      <c r="AW65" s="756"/>
      <c r="AX65" s="756"/>
      <c r="AY65" s="756"/>
      <c r="AZ65" s="756"/>
      <c r="BA65" s="756"/>
      <c r="BB65" s="757"/>
    </row>
    <row r="66" spans="3:54" ht="18" customHeight="1">
      <c r="C66" s="542"/>
      <c r="D66" s="755"/>
      <c r="E66" s="756"/>
      <c r="F66" s="756"/>
      <c r="G66" s="756"/>
      <c r="H66" s="756"/>
      <c r="I66" s="756"/>
      <c r="J66" s="756"/>
      <c r="K66" s="756"/>
      <c r="L66" s="756"/>
      <c r="M66" s="756"/>
      <c r="N66" s="756"/>
      <c r="O66" s="756"/>
      <c r="P66" s="756"/>
      <c r="Q66" s="756"/>
      <c r="R66" s="756"/>
      <c r="S66" s="756"/>
      <c r="T66" s="756"/>
      <c r="U66" s="756"/>
      <c r="V66" s="756"/>
      <c r="W66" s="756"/>
      <c r="X66" s="756"/>
      <c r="Y66" s="756"/>
      <c r="Z66" s="756"/>
      <c r="AA66" s="756"/>
      <c r="AB66" s="756"/>
      <c r="AC66" s="756"/>
      <c r="AD66" s="756"/>
      <c r="AE66" s="756"/>
      <c r="AF66" s="756"/>
      <c r="AG66" s="756"/>
      <c r="AH66" s="756"/>
      <c r="AI66" s="756"/>
      <c r="AJ66" s="756"/>
      <c r="AK66" s="756"/>
      <c r="AL66" s="756"/>
      <c r="AM66" s="756"/>
      <c r="AN66" s="756"/>
      <c r="AO66" s="756"/>
      <c r="AP66" s="756"/>
      <c r="AQ66" s="756"/>
      <c r="AR66" s="756"/>
      <c r="AS66" s="756"/>
      <c r="AT66" s="756"/>
      <c r="AU66" s="756"/>
      <c r="AV66" s="756"/>
      <c r="AW66" s="756"/>
      <c r="AX66" s="756"/>
      <c r="AY66" s="756"/>
      <c r="AZ66" s="756"/>
      <c r="BA66" s="756"/>
      <c r="BB66" s="757"/>
    </row>
    <row r="67" spans="3:54" ht="18" customHeight="1">
      <c r="C67" s="542"/>
      <c r="D67" s="778"/>
      <c r="E67" s="779"/>
      <c r="F67" s="779"/>
      <c r="G67" s="779"/>
      <c r="H67" s="779"/>
      <c r="I67" s="779"/>
      <c r="J67" s="779"/>
      <c r="K67" s="779"/>
      <c r="L67" s="779"/>
      <c r="M67" s="779"/>
      <c r="N67" s="779"/>
      <c r="O67" s="779"/>
      <c r="P67" s="779"/>
      <c r="Q67" s="779"/>
      <c r="R67" s="779"/>
      <c r="S67" s="779"/>
      <c r="T67" s="779"/>
      <c r="U67" s="779"/>
      <c r="V67" s="779"/>
      <c r="W67" s="779"/>
      <c r="X67" s="779"/>
      <c r="Y67" s="779"/>
      <c r="Z67" s="779"/>
      <c r="AA67" s="779"/>
      <c r="AB67" s="779"/>
      <c r="AC67" s="779"/>
      <c r="AD67" s="779"/>
      <c r="AE67" s="779"/>
      <c r="AF67" s="779"/>
      <c r="AG67" s="779"/>
      <c r="AH67" s="779"/>
      <c r="AI67" s="779"/>
      <c r="AJ67" s="779"/>
      <c r="AK67" s="779"/>
      <c r="AL67" s="779"/>
      <c r="AM67" s="779"/>
      <c r="AN67" s="779"/>
      <c r="AO67" s="779"/>
      <c r="AP67" s="779"/>
      <c r="AQ67" s="779"/>
      <c r="AR67" s="779"/>
      <c r="AS67" s="779"/>
      <c r="AT67" s="779"/>
      <c r="AU67" s="779"/>
      <c r="AV67" s="779"/>
      <c r="AW67" s="779"/>
      <c r="AX67" s="779"/>
      <c r="AY67" s="779"/>
      <c r="AZ67" s="779"/>
      <c r="BA67" s="779"/>
      <c r="BB67" s="780"/>
    </row>
    <row r="68" spans="3:54" ht="18" customHeight="1">
      <c r="C68" s="542"/>
      <c r="D68" s="755"/>
      <c r="E68" s="756"/>
      <c r="F68" s="756"/>
      <c r="G68" s="756"/>
      <c r="H68" s="756"/>
      <c r="I68" s="756"/>
      <c r="J68" s="756"/>
      <c r="K68" s="756"/>
      <c r="L68" s="756"/>
      <c r="M68" s="756"/>
      <c r="N68" s="756"/>
      <c r="O68" s="756"/>
      <c r="P68" s="756"/>
      <c r="Q68" s="756"/>
      <c r="R68" s="756"/>
      <c r="S68" s="756"/>
      <c r="T68" s="756"/>
      <c r="U68" s="756"/>
      <c r="V68" s="756"/>
      <c r="W68" s="756"/>
      <c r="X68" s="756"/>
      <c r="Y68" s="756"/>
      <c r="Z68" s="756"/>
      <c r="AA68" s="756"/>
      <c r="AB68" s="756"/>
      <c r="AC68" s="756"/>
      <c r="AD68" s="756"/>
      <c r="AE68" s="756"/>
      <c r="AF68" s="756"/>
      <c r="AG68" s="756"/>
      <c r="AH68" s="756"/>
      <c r="AI68" s="756"/>
      <c r="AJ68" s="756"/>
      <c r="AK68" s="756"/>
      <c r="AL68" s="756"/>
      <c r="AM68" s="756"/>
      <c r="AN68" s="756"/>
      <c r="AO68" s="756"/>
      <c r="AP68" s="756"/>
      <c r="AQ68" s="756"/>
      <c r="AR68" s="756"/>
      <c r="AS68" s="756"/>
      <c r="AT68" s="756"/>
      <c r="AU68" s="756"/>
      <c r="AV68" s="756"/>
      <c r="AW68" s="756"/>
      <c r="AX68" s="756"/>
      <c r="AY68" s="756"/>
      <c r="AZ68" s="756"/>
      <c r="BA68" s="756"/>
      <c r="BB68" s="757"/>
    </row>
    <row r="69" spans="3:54" ht="18" customHeight="1">
      <c r="C69" s="542"/>
      <c r="D69" s="755"/>
      <c r="E69" s="756"/>
      <c r="F69" s="756"/>
      <c r="G69" s="756"/>
      <c r="H69" s="756"/>
      <c r="I69" s="756"/>
      <c r="J69" s="756"/>
      <c r="K69" s="756"/>
      <c r="L69" s="756"/>
      <c r="M69" s="756"/>
      <c r="N69" s="756"/>
      <c r="O69" s="756"/>
      <c r="P69" s="756"/>
      <c r="Q69" s="756"/>
      <c r="R69" s="756"/>
      <c r="S69" s="756"/>
      <c r="T69" s="756"/>
      <c r="U69" s="756"/>
      <c r="V69" s="756"/>
      <c r="W69" s="756"/>
      <c r="X69" s="756"/>
      <c r="Y69" s="756"/>
      <c r="Z69" s="756"/>
      <c r="AA69" s="756"/>
      <c r="AB69" s="756"/>
      <c r="AC69" s="756"/>
      <c r="AD69" s="756"/>
      <c r="AE69" s="756"/>
      <c r="AF69" s="756"/>
      <c r="AG69" s="756"/>
      <c r="AH69" s="756"/>
      <c r="AI69" s="756"/>
      <c r="AJ69" s="756"/>
      <c r="AK69" s="756"/>
      <c r="AL69" s="756"/>
      <c r="AM69" s="756"/>
      <c r="AN69" s="756"/>
      <c r="AO69" s="756"/>
      <c r="AP69" s="756"/>
      <c r="AQ69" s="756"/>
      <c r="AR69" s="756"/>
      <c r="AS69" s="756"/>
      <c r="AT69" s="756"/>
      <c r="AU69" s="756"/>
      <c r="AV69" s="756"/>
      <c r="AW69" s="756"/>
      <c r="AX69" s="756"/>
      <c r="AY69" s="756"/>
      <c r="AZ69" s="756"/>
      <c r="BA69" s="756"/>
      <c r="BB69" s="757"/>
    </row>
    <row r="70" spans="3:54" ht="18" customHeight="1">
      <c r="C70" s="542"/>
      <c r="D70" s="755"/>
      <c r="E70" s="756"/>
      <c r="F70" s="756"/>
      <c r="G70" s="756"/>
      <c r="H70" s="756"/>
      <c r="I70" s="756"/>
      <c r="J70" s="756"/>
      <c r="K70" s="756"/>
      <c r="L70" s="756"/>
      <c r="M70" s="756"/>
      <c r="N70" s="756"/>
      <c r="O70" s="756"/>
      <c r="P70" s="756"/>
      <c r="Q70" s="756"/>
      <c r="R70" s="756"/>
      <c r="S70" s="756"/>
      <c r="T70" s="756"/>
      <c r="U70" s="756"/>
      <c r="V70" s="756"/>
      <c r="W70" s="756"/>
      <c r="X70" s="756"/>
      <c r="Y70" s="756"/>
      <c r="Z70" s="756"/>
      <c r="AA70" s="756"/>
      <c r="AB70" s="756"/>
      <c r="AC70" s="756"/>
      <c r="AD70" s="756"/>
      <c r="AE70" s="756"/>
      <c r="AF70" s="756"/>
      <c r="AG70" s="756"/>
      <c r="AH70" s="756"/>
      <c r="AI70" s="756"/>
      <c r="AJ70" s="756"/>
      <c r="AK70" s="756"/>
      <c r="AL70" s="756"/>
      <c r="AM70" s="756"/>
      <c r="AN70" s="756"/>
      <c r="AO70" s="756"/>
      <c r="AP70" s="756"/>
      <c r="AQ70" s="756"/>
      <c r="AR70" s="756"/>
      <c r="AS70" s="756"/>
      <c r="AT70" s="756"/>
      <c r="AU70" s="756"/>
      <c r="AV70" s="756"/>
      <c r="AW70" s="756"/>
      <c r="AX70" s="756"/>
      <c r="AY70" s="756"/>
      <c r="AZ70" s="756"/>
      <c r="BA70" s="756"/>
      <c r="BB70" s="757"/>
    </row>
    <row r="71" spans="3:54" ht="18" customHeight="1">
      <c r="C71" s="542"/>
      <c r="D71" s="755"/>
      <c r="E71" s="756"/>
      <c r="F71" s="756"/>
      <c r="G71" s="756"/>
      <c r="H71" s="756"/>
      <c r="I71" s="756"/>
      <c r="J71" s="756"/>
      <c r="K71" s="756"/>
      <c r="L71" s="756"/>
      <c r="M71" s="756"/>
      <c r="N71" s="756"/>
      <c r="O71" s="756"/>
      <c r="P71" s="756"/>
      <c r="Q71" s="756"/>
      <c r="R71" s="756"/>
      <c r="S71" s="756"/>
      <c r="T71" s="756"/>
      <c r="U71" s="756"/>
      <c r="V71" s="756"/>
      <c r="W71" s="756"/>
      <c r="X71" s="756"/>
      <c r="Y71" s="756"/>
      <c r="Z71" s="756"/>
      <c r="AA71" s="756"/>
      <c r="AB71" s="756"/>
      <c r="AC71" s="756"/>
      <c r="AD71" s="756"/>
      <c r="AE71" s="756"/>
      <c r="AF71" s="756"/>
      <c r="AG71" s="756"/>
      <c r="AH71" s="756"/>
      <c r="AI71" s="756"/>
      <c r="AJ71" s="756"/>
      <c r="AK71" s="756"/>
      <c r="AL71" s="756"/>
      <c r="AM71" s="756"/>
      <c r="AN71" s="756"/>
      <c r="AO71" s="756"/>
      <c r="AP71" s="756"/>
      <c r="AQ71" s="756"/>
      <c r="AR71" s="756"/>
      <c r="AS71" s="756"/>
      <c r="AT71" s="756"/>
      <c r="AU71" s="756"/>
      <c r="AV71" s="756"/>
      <c r="AW71" s="756"/>
      <c r="AX71" s="756"/>
      <c r="AY71" s="756"/>
      <c r="AZ71" s="756"/>
      <c r="BA71" s="756"/>
      <c r="BB71" s="757"/>
    </row>
    <row r="72" spans="3:54" ht="18" customHeight="1">
      <c r="C72" s="542"/>
      <c r="D72" s="755"/>
      <c r="E72" s="756"/>
      <c r="F72" s="756"/>
      <c r="G72" s="756"/>
      <c r="H72" s="756"/>
      <c r="I72" s="756"/>
      <c r="J72" s="756"/>
      <c r="K72" s="756"/>
      <c r="L72" s="756"/>
      <c r="M72" s="756"/>
      <c r="N72" s="756"/>
      <c r="O72" s="756"/>
      <c r="P72" s="756"/>
      <c r="Q72" s="756"/>
      <c r="R72" s="756"/>
      <c r="S72" s="756"/>
      <c r="T72" s="756"/>
      <c r="U72" s="756"/>
      <c r="V72" s="756"/>
      <c r="W72" s="756"/>
      <c r="X72" s="756"/>
      <c r="Y72" s="756"/>
      <c r="Z72" s="756"/>
      <c r="AA72" s="756"/>
      <c r="AB72" s="756"/>
      <c r="AC72" s="756"/>
      <c r="AD72" s="756"/>
      <c r="AE72" s="756"/>
      <c r="AF72" s="756"/>
      <c r="AG72" s="756"/>
      <c r="AH72" s="756"/>
      <c r="AI72" s="756"/>
      <c r="AJ72" s="756"/>
      <c r="AK72" s="756"/>
      <c r="AL72" s="756"/>
      <c r="AM72" s="756"/>
      <c r="AN72" s="756"/>
      <c r="AO72" s="756"/>
      <c r="AP72" s="756"/>
      <c r="AQ72" s="756"/>
      <c r="AR72" s="756"/>
      <c r="AS72" s="756"/>
      <c r="AT72" s="756"/>
      <c r="AU72" s="756"/>
      <c r="AV72" s="756"/>
      <c r="AW72" s="756"/>
      <c r="AX72" s="756"/>
      <c r="AY72" s="756"/>
      <c r="AZ72" s="756"/>
      <c r="BA72" s="756"/>
      <c r="BB72" s="757"/>
    </row>
    <row r="73" spans="1:105" ht="18" customHeight="1">
      <c r="A73" s="477"/>
      <c r="B73" s="421"/>
      <c r="C73" s="358"/>
      <c r="D73" s="567"/>
      <c r="E73" s="567"/>
      <c r="F73" s="567"/>
      <c r="G73" s="567"/>
      <c r="H73" s="567"/>
      <c r="I73" s="565"/>
      <c r="J73" s="565"/>
      <c r="K73" s="565"/>
      <c r="L73" s="565"/>
      <c r="M73" s="565"/>
      <c r="N73" s="565"/>
      <c r="O73" s="565"/>
      <c r="P73" s="565"/>
      <c r="Q73" s="565"/>
      <c r="R73" s="565"/>
      <c r="S73" s="565"/>
      <c r="T73" s="565"/>
      <c r="U73" s="565"/>
      <c r="V73" s="565"/>
      <c r="W73" s="565"/>
      <c r="X73" s="567"/>
      <c r="Y73" s="565"/>
      <c r="Z73" s="567"/>
      <c r="AA73" s="565"/>
      <c r="AB73" s="567"/>
      <c r="AC73" s="565"/>
      <c r="AD73" s="567"/>
      <c r="AE73" s="565"/>
      <c r="AF73" s="567"/>
      <c r="AG73" s="568"/>
      <c r="AH73" s="567"/>
      <c r="AI73" s="565"/>
      <c r="AJ73" s="565"/>
      <c r="AK73" s="565"/>
      <c r="AL73" s="567"/>
      <c r="AM73" s="565"/>
      <c r="AN73" s="567"/>
      <c r="AO73" s="566"/>
      <c r="AP73" s="566"/>
      <c r="AQ73" s="566"/>
      <c r="AR73" s="566"/>
      <c r="AS73" s="566"/>
      <c r="AT73" s="569"/>
      <c r="AU73" s="566"/>
      <c r="AV73" s="566"/>
      <c r="AW73" s="566"/>
      <c r="AX73" s="569"/>
      <c r="AY73" s="566"/>
      <c r="AZ73" s="569"/>
      <c r="BA73" s="566"/>
      <c r="BB73" s="569"/>
      <c r="BC73" s="432"/>
      <c r="BD73" s="432"/>
      <c r="BE73" s="432"/>
      <c r="BF73" s="432"/>
      <c r="BG73" s="432"/>
      <c r="BH73" s="432"/>
      <c r="BI73" s="432"/>
      <c r="BJ73" s="432"/>
      <c r="BK73" s="432"/>
      <c r="BL73" s="432"/>
      <c r="BM73" s="432"/>
      <c r="BN73" s="432"/>
      <c r="BO73" s="432"/>
      <c r="BP73" s="432"/>
      <c r="BQ73" s="432"/>
      <c r="BR73" s="432"/>
      <c r="BS73" s="432"/>
      <c r="BT73" s="432"/>
      <c r="BU73" s="432"/>
      <c r="BV73" s="432"/>
      <c r="BW73" s="432"/>
      <c r="BX73" s="432"/>
      <c r="BY73" s="432"/>
      <c r="BZ73" s="432"/>
      <c r="CA73" s="432"/>
      <c r="CB73" s="432"/>
      <c r="CC73" s="432"/>
      <c r="CD73" s="432"/>
      <c r="CE73" s="432"/>
      <c r="CF73" s="432"/>
      <c r="CG73" s="432"/>
      <c r="CH73" s="432"/>
      <c r="CI73" s="432"/>
      <c r="CJ73" s="432"/>
      <c r="CK73" s="432"/>
      <c r="CL73" s="432"/>
      <c r="CM73" s="432"/>
      <c r="CN73" s="432"/>
      <c r="CO73" s="432"/>
      <c r="CP73" s="432"/>
      <c r="CQ73" s="432"/>
      <c r="CR73" s="432"/>
      <c r="CS73" s="432"/>
      <c r="CT73" s="432"/>
      <c r="CU73" s="432"/>
      <c r="CV73" s="432"/>
      <c r="CW73" s="432"/>
      <c r="CX73" s="432"/>
      <c r="CY73" s="432"/>
      <c r="CZ73" s="432"/>
      <c r="DA73" s="432"/>
    </row>
    <row r="74" spans="56:96" ht="18" customHeight="1">
      <c r="BD74" s="527"/>
      <c r="BE74" s="528"/>
      <c r="BF74" s="528"/>
      <c r="BG74" s="528"/>
      <c r="BH74" s="528"/>
      <c r="BI74" s="528"/>
      <c r="BJ74" s="528"/>
      <c r="BK74" s="528"/>
      <c r="BL74" s="528"/>
      <c r="BM74" s="528"/>
      <c r="BN74" s="528"/>
      <c r="BO74" s="528"/>
      <c r="BP74" s="528"/>
      <c r="BQ74" s="528"/>
      <c r="BR74" s="528"/>
      <c r="BS74" s="528"/>
      <c r="BT74" s="528"/>
      <c r="BU74" s="528"/>
      <c r="BV74" s="528"/>
      <c r="BW74" s="528"/>
      <c r="BX74" s="528"/>
      <c r="BY74" s="528"/>
      <c r="BZ74" s="528"/>
      <c r="CA74" s="528"/>
      <c r="CB74" s="528"/>
      <c r="CC74" s="528"/>
      <c r="CD74" s="528"/>
      <c r="CE74" s="528"/>
      <c r="CF74" s="528"/>
      <c r="CG74" s="528"/>
      <c r="CH74" s="528"/>
      <c r="CI74" s="528"/>
      <c r="CJ74" s="528"/>
      <c r="CK74" s="528"/>
      <c r="CL74" s="528"/>
      <c r="CM74" s="528"/>
      <c r="CN74" s="528"/>
      <c r="CO74" s="528"/>
      <c r="CP74" s="528"/>
      <c r="CQ74" s="528"/>
      <c r="CR74" s="528"/>
    </row>
    <row r="75" spans="56:96" ht="18" customHeight="1">
      <c r="BD75" s="499"/>
      <c r="BE75" s="499"/>
      <c r="BF75" s="499"/>
      <c r="BG75" s="499"/>
      <c r="BH75" s="499"/>
      <c r="BI75" s="499"/>
      <c r="BJ75" s="499"/>
      <c r="BK75" s="499"/>
      <c r="BL75" s="499"/>
      <c r="BM75" s="499"/>
      <c r="BN75" s="499"/>
      <c r="BO75" s="499"/>
      <c r="BP75" s="499"/>
      <c r="BQ75" s="499"/>
      <c r="BR75" s="499"/>
      <c r="BS75" s="499"/>
      <c r="BT75" s="499"/>
      <c r="BU75" s="499"/>
      <c r="BV75" s="499"/>
      <c r="BW75" s="499"/>
      <c r="BX75" s="499"/>
      <c r="BY75" s="499"/>
      <c r="BZ75" s="499"/>
      <c r="CA75" s="499"/>
      <c r="CB75" s="499"/>
      <c r="CC75" s="499"/>
      <c r="CD75" s="499"/>
      <c r="CE75" s="499"/>
      <c r="CF75" s="499"/>
      <c r="CG75" s="499"/>
      <c r="CH75" s="499"/>
      <c r="CI75" s="499"/>
      <c r="CJ75" s="499"/>
      <c r="CK75" s="499"/>
      <c r="CL75" s="499"/>
      <c r="CM75" s="499"/>
      <c r="CN75" s="499"/>
      <c r="CO75" s="499"/>
      <c r="CP75" s="499"/>
      <c r="CQ75" s="499"/>
      <c r="CR75" s="499"/>
    </row>
    <row r="76" spans="1:105" s="285" customFormat="1" ht="10.5" customHeight="1">
      <c r="A76" s="180"/>
      <c r="B76" s="181"/>
      <c r="C76" s="193"/>
      <c r="D76" s="193"/>
      <c r="E76" s="193"/>
      <c r="F76" s="193"/>
      <c r="G76" s="193"/>
      <c r="H76" s="221"/>
      <c r="I76" s="222"/>
      <c r="J76" s="223"/>
      <c r="K76" s="222"/>
      <c r="L76" s="223"/>
      <c r="M76" s="222"/>
      <c r="N76" s="223"/>
      <c r="O76" s="222"/>
      <c r="P76" s="223"/>
      <c r="Q76" s="222"/>
      <c r="R76" s="223"/>
      <c r="S76" s="222"/>
      <c r="T76" s="223"/>
      <c r="U76" s="222"/>
      <c r="V76" s="223"/>
      <c r="W76" s="222"/>
      <c r="X76" s="221"/>
      <c r="Y76" s="222"/>
      <c r="Z76" s="221"/>
      <c r="AA76" s="222"/>
      <c r="AB76" s="221"/>
      <c r="AC76" s="222"/>
      <c r="AD76" s="221"/>
      <c r="AE76" s="222"/>
      <c r="AF76" s="221"/>
      <c r="AG76" s="222"/>
      <c r="AH76" s="221"/>
      <c r="AI76" s="222"/>
      <c r="AJ76" s="223"/>
      <c r="AK76" s="222"/>
      <c r="AL76" s="221"/>
      <c r="AM76" s="222"/>
      <c r="AN76" s="221"/>
      <c r="AO76" s="222"/>
      <c r="AP76" s="222"/>
      <c r="AQ76" s="222"/>
      <c r="AR76" s="222"/>
      <c r="AS76" s="222"/>
      <c r="AT76" s="221"/>
      <c r="AU76" s="222"/>
      <c r="AV76" s="222"/>
      <c r="AW76" s="222"/>
      <c r="AX76" s="221"/>
      <c r="AY76" s="222"/>
      <c r="AZ76" s="221"/>
      <c r="BA76" s="222"/>
      <c r="BB76" s="193"/>
      <c r="BC76" s="191"/>
      <c r="BD76" s="96"/>
      <c r="BE76" s="529"/>
      <c r="BF76" s="96"/>
      <c r="BG76" s="96"/>
      <c r="BH76" s="96"/>
      <c r="BI76" s="96"/>
      <c r="BJ76" s="96"/>
      <c r="BK76" s="96"/>
      <c r="BL76" s="96"/>
      <c r="BM76" s="96"/>
      <c r="BN76" s="96"/>
      <c r="BO76" s="96"/>
      <c r="BP76" s="96"/>
      <c r="BQ76" s="96"/>
      <c r="BR76" s="96"/>
      <c r="BS76" s="96"/>
      <c r="BT76" s="96"/>
      <c r="BU76" s="96"/>
      <c r="BV76" s="96"/>
      <c r="BW76" s="96"/>
      <c r="BX76" s="96"/>
      <c r="BY76" s="96"/>
      <c r="BZ76" s="96"/>
      <c r="CA76" s="96"/>
      <c r="CB76" s="96"/>
      <c r="CC76" s="96"/>
      <c r="CD76" s="96"/>
      <c r="CE76" s="96"/>
      <c r="CF76" s="96"/>
      <c r="CG76" s="96"/>
      <c r="CH76" s="96"/>
      <c r="CI76" s="96"/>
      <c r="CJ76" s="96"/>
      <c r="CK76" s="96"/>
      <c r="CL76" s="96"/>
      <c r="CM76" s="96"/>
      <c r="CN76" s="96"/>
      <c r="CO76" s="96"/>
      <c r="CP76" s="96"/>
      <c r="CQ76" s="96"/>
      <c r="CR76" s="96"/>
      <c r="CS76" s="191"/>
      <c r="CT76" s="191"/>
      <c r="CU76" s="191"/>
      <c r="CV76" s="191"/>
      <c r="CW76" s="191"/>
      <c r="CX76" s="191"/>
      <c r="CY76" s="191"/>
      <c r="CZ76" s="191"/>
      <c r="DA76" s="191"/>
    </row>
    <row r="77" spans="56:96" ht="12.75">
      <c r="BD77" s="96"/>
      <c r="BE77" s="529"/>
      <c r="BF77" s="96"/>
      <c r="BG77" s="96"/>
      <c r="BH77" s="96"/>
      <c r="BI77" s="96"/>
      <c r="BJ77" s="96"/>
      <c r="BK77" s="96"/>
      <c r="BL77" s="96"/>
      <c r="BM77" s="96"/>
      <c r="BN77" s="96"/>
      <c r="BO77" s="96"/>
      <c r="BP77" s="96"/>
      <c r="BQ77" s="96"/>
      <c r="BR77" s="96"/>
      <c r="BS77" s="96"/>
      <c r="BT77" s="96"/>
      <c r="BU77" s="96"/>
      <c r="BV77" s="96"/>
      <c r="BW77" s="96"/>
      <c r="BX77" s="96"/>
      <c r="BY77" s="96"/>
      <c r="BZ77" s="96"/>
      <c r="CA77" s="96"/>
      <c r="CB77" s="96"/>
      <c r="CC77" s="96"/>
      <c r="CD77" s="96"/>
      <c r="CE77" s="96"/>
      <c r="CF77" s="96"/>
      <c r="CG77" s="96"/>
      <c r="CH77" s="96"/>
      <c r="CI77" s="96"/>
      <c r="CJ77" s="96"/>
      <c r="CK77" s="96"/>
      <c r="CL77" s="96"/>
      <c r="CM77" s="96"/>
      <c r="CN77" s="96"/>
      <c r="CO77" s="96"/>
      <c r="CP77" s="96"/>
      <c r="CQ77" s="96"/>
      <c r="CR77" s="96"/>
    </row>
    <row r="78" spans="56:96" ht="12.75">
      <c r="BD78" s="412"/>
      <c r="BE78" s="413"/>
      <c r="BF78" s="96"/>
      <c r="BG78" s="96"/>
      <c r="BH78" s="96"/>
      <c r="BI78" s="96"/>
      <c r="BJ78" s="96"/>
      <c r="BK78" s="96"/>
      <c r="BL78" s="96"/>
      <c r="BM78" s="96"/>
      <c r="BN78" s="96"/>
      <c r="BO78" s="96"/>
      <c r="BP78" s="96"/>
      <c r="BQ78" s="96"/>
      <c r="BR78" s="96"/>
      <c r="BS78" s="96"/>
      <c r="BT78" s="96"/>
      <c r="BU78" s="96"/>
      <c r="BV78" s="96"/>
      <c r="BW78" s="96"/>
      <c r="BX78" s="96"/>
      <c r="BY78" s="96"/>
      <c r="BZ78" s="96"/>
      <c r="CA78" s="96"/>
      <c r="CB78" s="96"/>
      <c r="CC78" s="96"/>
      <c r="CD78" s="96"/>
      <c r="CE78" s="96"/>
      <c r="CF78" s="96"/>
      <c r="CG78" s="96"/>
      <c r="CH78" s="96"/>
      <c r="CI78" s="96"/>
      <c r="CJ78" s="96"/>
      <c r="CK78" s="96"/>
      <c r="CL78" s="96"/>
      <c r="CM78" s="96"/>
      <c r="CN78" s="96"/>
      <c r="CO78" s="96"/>
      <c r="CP78" s="96"/>
      <c r="CQ78" s="96"/>
      <c r="CR78" s="96"/>
    </row>
    <row r="79" spans="56:96" ht="12.75">
      <c r="BD79" s="412"/>
      <c r="BE79" s="413"/>
      <c r="BF79" s="96"/>
      <c r="BG79" s="96"/>
      <c r="BH79" s="96"/>
      <c r="BI79" s="96"/>
      <c r="BJ79" s="96"/>
      <c r="BK79" s="96"/>
      <c r="BL79" s="96"/>
      <c r="BM79" s="96"/>
      <c r="BN79" s="96"/>
      <c r="BO79" s="96"/>
      <c r="BP79" s="96"/>
      <c r="BQ79" s="96"/>
      <c r="BR79" s="96"/>
      <c r="BS79" s="96"/>
      <c r="BT79" s="96"/>
      <c r="BU79" s="96"/>
      <c r="BV79" s="96"/>
      <c r="BW79" s="96"/>
      <c r="BX79" s="96"/>
      <c r="BY79" s="96"/>
      <c r="BZ79" s="96"/>
      <c r="CA79" s="96"/>
      <c r="CB79" s="96"/>
      <c r="CC79" s="96"/>
      <c r="CD79" s="96"/>
      <c r="CE79" s="96"/>
      <c r="CF79" s="96"/>
      <c r="CG79" s="96"/>
      <c r="CH79" s="96"/>
      <c r="CI79" s="96"/>
      <c r="CJ79" s="96"/>
      <c r="CK79" s="96"/>
      <c r="CL79" s="96"/>
      <c r="CM79" s="96"/>
      <c r="CN79" s="96"/>
      <c r="CO79" s="96"/>
      <c r="CP79" s="96"/>
      <c r="CQ79" s="96"/>
      <c r="CR79" s="96"/>
    </row>
    <row r="80" spans="56:96" ht="12.75">
      <c r="BD80" s="96"/>
      <c r="BE80" s="529"/>
      <c r="BF80" s="96"/>
      <c r="BG80" s="96"/>
      <c r="BH80" s="96"/>
      <c r="BI80" s="96"/>
      <c r="BJ80" s="96"/>
      <c r="BK80" s="96"/>
      <c r="BL80" s="96"/>
      <c r="BM80" s="96"/>
      <c r="BN80" s="96"/>
      <c r="BO80" s="96"/>
      <c r="BP80" s="96"/>
      <c r="BQ80" s="96"/>
      <c r="BR80" s="96"/>
      <c r="BS80" s="96"/>
      <c r="BT80" s="96"/>
      <c r="BU80" s="96"/>
      <c r="BV80" s="96"/>
      <c r="BW80" s="96"/>
      <c r="BX80" s="96"/>
      <c r="BY80" s="96"/>
      <c r="BZ80" s="96"/>
      <c r="CA80" s="96"/>
      <c r="CB80" s="96"/>
      <c r="CC80" s="96"/>
      <c r="CD80" s="96"/>
      <c r="CE80" s="96"/>
      <c r="CF80" s="96"/>
      <c r="CG80" s="96"/>
      <c r="CH80" s="96"/>
      <c r="CI80" s="96"/>
      <c r="CJ80" s="96"/>
      <c r="CK80" s="96"/>
      <c r="CL80" s="96"/>
      <c r="CM80" s="96"/>
      <c r="CN80" s="96"/>
      <c r="CO80" s="96"/>
      <c r="CP80" s="96"/>
      <c r="CQ80" s="96"/>
      <c r="CR80" s="96"/>
    </row>
    <row r="81" spans="56:96" ht="12.75">
      <c r="BD81" s="96"/>
      <c r="BE81" s="530"/>
      <c r="BF81" s="96"/>
      <c r="BG81" s="96"/>
      <c r="BH81" s="96"/>
      <c r="BI81" s="114"/>
      <c r="BJ81" s="114"/>
      <c r="BK81" s="114"/>
      <c r="BL81" s="114"/>
      <c r="BM81" s="114"/>
      <c r="BN81" s="114"/>
      <c r="BO81" s="114"/>
      <c r="BP81" s="114"/>
      <c r="BQ81" s="114"/>
      <c r="BR81" s="114"/>
      <c r="BS81" s="114"/>
      <c r="BT81" s="114"/>
      <c r="BU81" s="114"/>
      <c r="BV81" s="114"/>
      <c r="BW81" s="96"/>
      <c r="BX81" s="96"/>
      <c r="BY81" s="96"/>
      <c r="BZ81" s="96"/>
      <c r="CA81" s="96"/>
      <c r="CB81" s="96"/>
      <c r="CC81" s="96"/>
      <c r="CD81" s="96"/>
      <c r="CE81" s="96"/>
      <c r="CF81" s="96"/>
      <c r="CG81" s="96"/>
      <c r="CH81" s="96"/>
      <c r="CI81" s="114"/>
      <c r="CJ81" s="114"/>
      <c r="CK81" s="96"/>
      <c r="CL81" s="96"/>
      <c r="CM81" s="96"/>
      <c r="CN81" s="96"/>
      <c r="CO81" s="96"/>
      <c r="CP81" s="96"/>
      <c r="CQ81" s="96"/>
      <c r="CR81" s="96"/>
    </row>
    <row r="82" spans="56:96" ht="12.75">
      <c r="BD82" s="96"/>
      <c r="BE82" s="529"/>
      <c r="BF82" s="96"/>
      <c r="BG82" s="96"/>
      <c r="BH82" s="96"/>
      <c r="BI82" s="96"/>
      <c r="BJ82" s="96"/>
      <c r="BK82" s="96"/>
      <c r="BL82" s="96"/>
      <c r="BM82" s="96"/>
      <c r="BN82" s="96"/>
      <c r="BO82" s="96"/>
      <c r="BP82" s="96"/>
      <c r="BQ82" s="96"/>
      <c r="BR82" s="96"/>
      <c r="BS82" s="96"/>
      <c r="BT82" s="96"/>
      <c r="BU82" s="96"/>
      <c r="BV82" s="96"/>
      <c r="BW82" s="96"/>
      <c r="BX82" s="96"/>
      <c r="BY82" s="96"/>
      <c r="BZ82" s="96"/>
      <c r="CA82" s="96"/>
      <c r="CB82" s="96"/>
      <c r="CC82" s="96"/>
      <c r="CD82" s="96"/>
      <c r="CE82" s="96"/>
      <c r="CF82" s="96"/>
      <c r="CG82" s="96"/>
      <c r="CH82" s="96"/>
      <c r="CI82" s="96"/>
      <c r="CJ82" s="96"/>
      <c r="CK82" s="96"/>
      <c r="CL82" s="96"/>
      <c r="CM82" s="96"/>
      <c r="CN82" s="96"/>
      <c r="CO82" s="96"/>
      <c r="CP82" s="96"/>
      <c r="CQ82" s="96"/>
      <c r="CR82" s="96"/>
    </row>
    <row r="83" spans="56:96" ht="12.75">
      <c r="BD83" s="96"/>
      <c r="BE83" s="529"/>
      <c r="BF83" s="96"/>
      <c r="BG83" s="96"/>
      <c r="BH83" s="96"/>
      <c r="BI83" s="96"/>
      <c r="BJ83" s="96"/>
      <c r="BK83" s="96"/>
      <c r="BL83" s="96"/>
      <c r="BM83" s="96"/>
      <c r="BN83" s="96"/>
      <c r="BO83" s="96"/>
      <c r="BP83" s="96"/>
      <c r="BQ83" s="96"/>
      <c r="BR83" s="96"/>
      <c r="BS83" s="96"/>
      <c r="BT83" s="96"/>
      <c r="BU83" s="96"/>
      <c r="BV83" s="96"/>
      <c r="BW83" s="96"/>
      <c r="BX83" s="96"/>
      <c r="BY83" s="96"/>
      <c r="BZ83" s="96"/>
      <c r="CA83" s="96"/>
      <c r="CB83" s="96"/>
      <c r="CC83" s="96"/>
      <c r="CD83" s="96"/>
      <c r="CE83" s="96"/>
      <c r="CF83" s="96"/>
      <c r="CG83" s="96"/>
      <c r="CH83" s="96"/>
      <c r="CI83" s="96"/>
      <c r="CJ83" s="96"/>
      <c r="CK83" s="96"/>
      <c r="CL83" s="96"/>
      <c r="CM83" s="96"/>
      <c r="CN83" s="96"/>
      <c r="CO83" s="96"/>
      <c r="CP83" s="96"/>
      <c r="CQ83" s="96"/>
      <c r="CR83" s="96"/>
    </row>
    <row r="84" spans="56:96" ht="12.75">
      <c r="BD84" s="96"/>
      <c r="BE84" s="529"/>
      <c r="BF84" s="96"/>
      <c r="BG84" s="96"/>
      <c r="BH84" s="96"/>
      <c r="BI84" s="96"/>
      <c r="BJ84" s="96"/>
      <c r="BK84" s="96"/>
      <c r="BL84" s="96"/>
      <c r="BM84" s="96"/>
      <c r="BN84" s="96"/>
      <c r="BO84" s="96"/>
      <c r="BP84" s="96"/>
      <c r="BQ84" s="96"/>
      <c r="BR84" s="96"/>
      <c r="BS84" s="96"/>
      <c r="BT84" s="96"/>
      <c r="BU84" s="96"/>
      <c r="BV84" s="96"/>
      <c r="BW84" s="96"/>
      <c r="BX84" s="96"/>
      <c r="BY84" s="96"/>
      <c r="BZ84" s="96"/>
      <c r="CA84" s="96"/>
      <c r="CB84" s="96"/>
      <c r="CC84" s="96"/>
      <c r="CD84" s="96"/>
      <c r="CE84" s="96"/>
      <c r="CF84" s="96"/>
      <c r="CG84" s="96"/>
      <c r="CH84" s="96"/>
      <c r="CI84" s="96"/>
      <c r="CJ84" s="96"/>
      <c r="CK84" s="96"/>
      <c r="CL84" s="96"/>
      <c r="CM84" s="96"/>
      <c r="CN84" s="96"/>
      <c r="CO84" s="96"/>
      <c r="CP84" s="96"/>
      <c r="CQ84" s="96"/>
      <c r="CR84" s="96"/>
    </row>
    <row r="85" spans="56:96" ht="12.75">
      <c r="BD85" s="412"/>
      <c r="BE85" s="413"/>
      <c r="BF85" s="96"/>
      <c r="BG85" s="96"/>
      <c r="BH85" s="96"/>
      <c r="BI85" s="96"/>
      <c r="BJ85" s="96"/>
      <c r="BK85" s="96"/>
      <c r="BL85" s="96"/>
      <c r="BM85" s="96"/>
      <c r="BN85" s="96"/>
      <c r="BO85" s="96"/>
      <c r="BP85" s="96"/>
      <c r="BQ85" s="96"/>
      <c r="BR85" s="96"/>
      <c r="BS85" s="96"/>
      <c r="BT85" s="96"/>
      <c r="BU85" s="96"/>
      <c r="BV85" s="96"/>
      <c r="BW85" s="96"/>
      <c r="BX85" s="96"/>
      <c r="BY85" s="96"/>
      <c r="BZ85" s="96"/>
      <c r="CA85" s="96"/>
      <c r="CB85" s="96"/>
      <c r="CC85" s="96"/>
      <c r="CD85" s="96"/>
      <c r="CE85" s="96"/>
      <c r="CF85" s="96"/>
      <c r="CG85" s="96"/>
      <c r="CH85" s="96"/>
      <c r="CI85" s="96"/>
      <c r="CJ85" s="96"/>
      <c r="CK85" s="96"/>
      <c r="CL85" s="96"/>
      <c r="CM85" s="96"/>
      <c r="CN85" s="96"/>
      <c r="CO85" s="96"/>
      <c r="CP85" s="96"/>
      <c r="CQ85" s="96"/>
      <c r="CR85" s="96"/>
    </row>
    <row r="86" spans="56:96" ht="12.75">
      <c r="BD86" s="96"/>
      <c r="BE86" s="529"/>
      <c r="BF86" s="96"/>
      <c r="BG86" s="96"/>
      <c r="BH86" s="96"/>
      <c r="BI86" s="96"/>
      <c r="BJ86" s="96"/>
      <c r="BK86" s="96"/>
      <c r="BL86" s="96"/>
      <c r="BM86" s="96"/>
      <c r="BN86" s="96"/>
      <c r="BO86" s="96"/>
      <c r="BP86" s="96"/>
      <c r="BQ86" s="96"/>
      <c r="BR86" s="96"/>
      <c r="BS86" s="96"/>
      <c r="BT86" s="96"/>
      <c r="BU86" s="96"/>
      <c r="BV86" s="96"/>
      <c r="BW86" s="96"/>
      <c r="BX86" s="96"/>
      <c r="BY86" s="96"/>
      <c r="BZ86" s="96"/>
      <c r="CA86" s="96"/>
      <c r="CB86" s="96"/>
      <c r="CC86" s="96"/>
      <c r="CD86" s="96"/>
      <c r="CE86" s="96"/>
      <c r="CF86" s="96"/>
      <c r="CG86" s="96"/>
      <c r="CH86" s="96"/>
      <c r="CI86" s="96"/>
      <c r="CJ86" s="96"/>
      <c r="CK86" s="96"/>
      <c r="CL86" s="96"/>
      <c r="CM86" s="96"/>
      <c r="CN86" s="96"/>
      <c r="CO86" s="96"/>
      <c r="CP86" s="96"/>
      <c r="CQ86" s="96"/>
      <c r="CR86" s="96"/>
    </row>
    <row r="87" spans="56:96" ht="12.75">
      <c r="BD87" s="96"/>
      <c r="BE87" s="529"/>
      <c r="BF87" s="96"/>
      <c r="BG87" s="96"/>
      <c r="BH87" s="96"/>
      <c r="BI87" s="96"/>
      <c r="BJ87" s="96"/>
      <c r="BK87" s="96"/>
      <c r="BL87" s="96"/>
      <c r="BM87" s="96"/>
      <c r="BN87" s="96"/>
      <c r="BO87" s="96"/>
      <c r="BP87" s="96"/>
      <c r="BQ87" s="96"/>
      <c r="BR87" s="96"/>
      <c r="BS87" s="96"/>
      <c r="BT87" s="96"/>
      <c r="BU87" s="96"/>
      <c r="BV87" s="96"/>
      <c r="BW87" s="96"/>
      <c r="BX87" s="96"/>
      <c r="BY87" s="96"/>
      <c r="BZ87" s="96"/>
      <c r="CA87" s="96"/>
      <c r="CB87" s="96"/>
      <c r="CC87" s="96"/>
      <c r="CD87" s="96"/>
      <c r="CE87" s="96"/>
      <c r="CF87" s="96"/>
      <c r="CG87" s="96"/>
      <c r="CH87" s="96"/>
      <c r="CI87" s="96"/>
      <c r="CJ87" s="96"/>
      <c r="CK87" s="96"/>
      <c r="CL87" s="96"/>
      <c r="CM87" s="96"/>
      <c r="CN87" s="96"/>
      <c r="CO87" s="96"/>
      <c r="CP87" s="96"/>
      <c r="CQ87" s="96"/>
      <c r="CR87" s="96"/>
    </row>
    <row r="88" spans="56:96" ht="12.75">
      <c r="BD88" s="412"/>
      <c r="BE88" s="413"/>
      <c r="BF88" s="96"/>
      <c r="BG88" s="96"/>
      <c r="BH88" s="96"/>
      <c r="BI88" s="96"/>
      <c r="BJ88" s="96"/>
      <c r="BK88" s="96"/>
      <c r="BL88" s="96"/>
      <c r="BM88" s="96"/>
      <c r="BN88" s="96"/>
      <c r="BO88" s="96"/>
      <c r="BP88" s="96"/>
      <c r="BQ88" s="96"/>
      <c r="BR88" s="96"/>
      <c r="BS88" s="96"/>
      <c r="BT88" s="96"/>
      <c r="BU88" s="96"/>
      <c r="BV88" s="96"/>
      <c r="BW88" s="96"/>
      <c r="BX88" s="96"/>
      <c r="BY88" s="96"/>
      <c r="BZ88" s="96"/>
      <c r="CA88" s="96"/>
      <c r="CB88" s="96"/>
      <c r="CC88" s="96"/>
      <c r="CD88" s="96"/>
      <c r="CE88" s="96"/>
      <c r="CF88" s="96"/>
      <c r="CG88" s="96"/>
      <c r="CH88" s="96"/>
      <c r="CI88" s="96"/>
      <c r="CJ88" s="96"/>
      <c r="CK88" s="96"/>
      <c r="CL88" s="96"/>
      <c r="CM88" s="96"/>
      <c r="CN88" s="96"/>
      <c r="CO88" s="96"/>
      <c r="CP88" s="96"/>
      <c r="CQ88" s="96"/>
      <c r="CR88" s="96"/>
    </row>
    <row r="89" spans="56:96" ht="12.75">
      <c r="BD89" s="96"/>
      <c r="BE89" s="529"/>
      <c r="BF89" s="96"/>
      <c r="BG89" s="96"/>
      <c r="BH89" s="96"/>
      <c r="BI89" s="96"/>
      <c r="BJ89" s="96"/>
      <c r="BK89" s="96"/>
      <c r="BL89" s="96"/>
      <c r="BM89" s="96"/>
      <c r="BN89" s="96"/>
      <c r="BO89" s="96"/>
      <c r="BP89" s="96"/>
      <c r="BQ89" s="96"/>
      <c r="BR89" s="96"/>
      <c r="BS89" s="96"/>
      <c r="BT89" s="96"/>
      <c r="BU89" s="96"/>
      <c r="BV89" s="96"/>
      <c r="BW89" s="96"/>
      <c r="BX89" s="96"/>
      <c r="BY89" s="96"/>
      <c r="BZ89" s="96"/>
      <c r="CA89" s="96"/>
      <c r="CB89" s="96"/>
      <c r="CC89" s="96"/>
      <c r="CD89" s="96"/>
      <c r="CE89" s="96"/>
      <c r="CF89" s="96"/>
      <c r="CG89" s="96"/>
      <c r="CH89" s="96"/>
      <c r="CI89" s="96"/>
      <c r="CJ89" s="96"/>
      <c r="CK89" s="96"/>
      <c r="CL89" s="96"/>
      <c r="CM89" s="96"/>
      <c r="CN89" s="96"/>
      <c r="CO89" s="96"/>
      <c r="CP89" s="96"/>
      <c r="CQ89" s="96"/>
      <c r="CR89" s="96"/>
    </row>
    <row r="90" spans="56:96" ht="12.75">
      <c r="BD90" s="412"/>
      <c r="BE90" s="413"/>
      <c r="BF90" s="96"/>
      <c r="BG90" s="96"/>
      <c r="BH90" s="96"/>
      <c r="BI90" s="96"/>
      <c r="BJ90" s="96"/>
      <c r="BK90" s="96"/>
      <c r="BL90" s="96"/>
      <c r="BM90" s="96"/>
      <c r="BN90" s="96"/>
      <c r="BO90" s="96"/>
      <c r="BP90" s="96"/>
      <c r="BQ90" s="96"/>
      <c r="BR90" s="96"/>
      <c r="BS90" s="96"/>
      <c r="BT90" s="96"/>
      <c r="BU90" s="96"/>
      <c r="BV90" s="96"/>
      <c r="BW90" s="96"/>
      <c r="BX90" s="96"/>
      <c r="BY90" s="96"/>
      <c r="BZ90" s="96"/>
      <c r="CA90" s="96"/>
      <c r="CB90" s="96"/>
      <c r="CC90" s="96"/>
      <c r="CD90" s="96"/>
      <c r="CE90" s="96"/>
      <c r="CF90" s="96"/>
      <c r="CG90" s="96"/>
      <c r="CH90" s="96"/>
      <c r="CI90" s="96"/>
      <c r="CJ90" s="96"/>
      <c r="CK90" s="96"/>
      <c r="CL90" s="96"/>
      <c r="CM90" s="96"/>
      <c r="CN90" s="96"/>
      <c r="CO90" s="96"/>
      <c r="CP90" s="96"/>
      <c r="CQ90" s="96"/>
      <c r="CR90" s="96"/>
    </row>
    <row r="91" spans="56:96" ht="12.75">
      <c r="BD91" s="96"/>
      <c r="BE91" s="529"/>
      <c r="BF91" s="96"/>
      <c r="BG91" s="96"/>
      <c r="BH91" s="96"/>
      <c r="BI91" s="96"/>
      <c r="BJ91" s="96"/>
      <c r="BK91" s="96"/>
      <c r="BL91" s="96"/>
      <c r="BM91" s="96"/>
      <c r="BN91" s="96"/>
      <c r="BO91" s="96"/>
      <c r="BP91" s="96"/>
      <c r="BQ91" s="96"/>
      <c r="BR91" s="96"/>
      <c r="BS91" s="96"/>
      <c r="BT91" s="96"/>
      <c r="BU91" s="96"/>
      <c r="BV91" s="96"/>
      <c r="BW91" s="96"/>
      <c r="BX91" s="96"/>
      <c r="BY91" s="96"/>
      <c r="BZ91" s="96"/>
      <c r="CA91" s="96"/>
      <c r="CB91" s="96"/>
      <c r="CC91" s="96"/>
      <c r="CD91" s="96"/>
      <c r="CE91" s="96"/>
      <c r="CF91" s="96"/>
      <c r="CG91" s="96"/>
      <c r="CH91" s="96"/>
      <c r="CI91" s="96"/>
      <c r="CJ91" s="96"/>
      <c r="CK91" s="96"/>
      <c r="CL91" s="96"/>
      <c r="CM91" s="96"/>
      <c r="CN91" s="96"/>
      <c r="CO91" s="96"/>
      <c r="CP91" s="96"/>
      <c r="CQ91" s="96"/>
      <c r="CR91" s="96"/>
    </row>
    <row r="92" spans="56:96" ht="12.75">
      <c r="BD92" s="96"/>
      <c r="BE92" s="529"/>
      <c r="BF92" s="96"/>
      <c r="BG92" s="96"/>
      <c r="BH92" s="96"/>
      <c r="BI92" s="96"/>
      <c r="BJ92" s="96"/>
      <c r="BK92" s="96"/>
      <c r="BL92" s="96"/>
      <c r="BM92" s="96"/>
      <c r="BN92" s="96"/>
      <c r="BO92" s="96"/>
      <c r="BP92" s="96"/>
      <c r="BQ92" s="96"/>
      <c r="BR92" s="96"/>
      <c r="BS92" s="96"/>
      <c r="BT92" s="96"/>
      <c r="BU92" s="96"/>
      <c r="BV92" s="96"/>
      <c r="BW92" s="96"/>
      <c r="BX92" s="96"/>
      <c r="BY92" s="96"/>
      <c r="BZ92" s="96"/>
      <c r="CA92" s="96"/>
      <c r="CB92" s="96"/>
      <c r="CC92" s="96"/>
      <c r="CD92" s="96"/>
      <c r="CE92" s="96"/>
      <c r="CF92" s="96"/>
      <c r="CG92" s="96"/>
      <c r="CH92" s="96"/>
      <c r="CI92" s="96"/>
      <c r="CJ92" s="96"/>
      <c r="CK92" s="96"/>
      <c r="CL92" s="96"/>
      <c r="CM92" s="96"/>
      <c r="CN92" s="96"/>
      <c r="CO92" s="96"/>
      <c r="CP92" s="96"/>
      <c r="CQ92" s="96"/>
      <c r="CR92" s="96"/>
    </row>
    <row r="93" spans="56:96" ht="12.75">
      <c r="BD93" s="96"/>
      <c r="BE93" s="530"/>
      <c r="BF93" s="96"/>
      <c r="BG93" s="96"/>
      <c r="BH93" s="96"/>
      <c r="BI93" s="96"/>
      <c r="BJ93" s="96"/>
      <c r="BK93" s="96"/>
      <c r="BL93" s="96"/>
      <c r="BM93" s="96"/>
      <c r="BN93" s="96"/>
      <c r="BO93" s="96"/>
      <c r="BP93" s="96"/>
      <c r="BQ93" s="96"/>
      <c r="BR93" s="96"/>
      <c r="BS93" s="96"/>
      <c r="BT93" s="96"/>
      <c r="BU93" s="96"/>
      <c r="BV93" s="96"/>
      <c r="BW93" s="96"/>
      <c r="BX93" s="96"/>
      <c r="BY93" s="96"/>
      <c r="BZ93" s="96"/>
      <c r="CA93" s="96"/>
      <c r="CB93" s="96"/>
      <c r="CC93" s="96"/>
      <c r="CD93" s="96"/>
      <c r="CE93" s="96"/>
      <c r="CF93" s="96"/>
      <c r="CG93" s="96"/>
      <c r="CH93" s="96"/>
      <c r="CI93" s="96"/>
      <c r="CJ93" s="96"/>
      <c r="CK93" s="96"/>
      <c r="CL93" s="96"/>
      <c r="CM93" s="96"/>
      <c r="CN93" s="96"/>
      <c r="CO93" s="96"/>
      <c r="CP93" s="96"/>
      <c r="CQ93" s="96"/>
      <c r="CR93" s="96"/>
    </row>
    <row r="94" spans="56:96" ht="12.75">
      <c r="BD94" s="96"/>
      <c r="BE94" s="529"/>
      <c r="BF94" s="96"/>
      <c r="BG94" s="96"/>
      <c r="BH94" s="96"/>
      <c r="BI94" s="96"/>
      <c r="BJ94" s="96"/>
      <c r="BK94" s="96"/>
      <c r="BL94" s="96"/>
      <c r="BM94" s="96"/>
      <c r="BN94" s="96"/>
      <c r="BO94" s="96"/>
      <c r="BP94" s="96"/>
      <c r="BQ94" s="96"/>
      <c r="BR94" s="96"/>
      <c r="BS94" s="96"/>
      <c r="BT94" s="96"/>
      <c r="BU94" s="96"/>
      <c r="BV94" s="96"/>
      <c r="BW94" s="96"/>
      <c r="BX94" s="96"/>
      <c r="BY94" s="96"/>
      <c r="BZ94" s="96"/>
      <c r="CA94" s="96"/>
      <c r="CB94" s="96"/>
      <c r="CC94" s="96"/>
      <c r="CD94" s="96"/>
      <c r="CE94" s="96"/>
      <c r="CF94" s="96"/>
      <c r="CG94" s="96"/>
      <c r="CH94" s="96"/>
      <c r="CI94" s="96"/>
      <c r="CJ94" s="96"/>
      <c r="CK94" s="96"/>
      <c r="CL94" s="96"/>
      <c r="CM94" s="96"/>
      <c r="CN94" s="96"/>
      <c r="CO94" s="96"/>
      <c r="CP94" s="96"/>
      <c r="CQ94" s="96"/>
      <c r="CR94" s="96"/>
    </row>
    <row r="95" spans="56:96" ht="12.75">
      <c r="BD95" s="412"/>
      <c r="BE95" s="413"/>
      <c r="BF95" s="96"/>
      <c r="BG95" s="96"/>
      <c r="BH95" s="96"/>
      <c r="BI95" s="96"/>
      <c r="BJ95" s="96"/>
      <c r="BK95" s="96"/>
      <c r="BL95" s="96"/>
      <c r="BM95" s="96"/>
      <c r="BN95" s="96"/>
      <c r="BO95" s="96"/>
      <c r="BP95" s="96"/>
      <c r="BQ95" s="96"/>
      <c r="BR95" s="96"/>
      <c r="BS95" s="96"/>
      <c r="BT95" s="96"/>
      <c r="BU95" s="96"/>
      <c r="BV95" s="96"/>
      <c r="BW95" s="96"/>
      <c r="BX95" s="96"/>
      <c r="BY95" s="96"/>
      <c r="BZ95" s="96"/>
      <c r="CA95" s="96"/>
      <c r="CB95" s="96"/>
      <c r="CC95" s="96"/>
      <c r="CD95" s="96"/>
      <c r="CE95" s="96"/>
      <c r="CF95" s="96"/>
      <c r="CG95" s="96"/>
      <c r="CH95" s="96"/>
      <c r="CI95" s="96"/>
      <c r="CJ95" s="96"/>
      <c r="CK95" s="96"/>
      <c r="CL95" s="96"/>
      <c r="CM95" s="96"/>
      <c r="CN95" s="96"/>
      <c r="CO95" s="96"/>
      <c r="CP95" s="96"/>
      <c r="CQ95" s="96"/>
      <c r="CR95" s="96"/>
    </row>
    <row r="96" spans="56:96" ht="12.75">
      <c r="BD96" s="432"/>
      <c r="BE96" s="432"/>
      <c r="BF96" s="432"/>
      <c r="BG96" s="432"/>
      <c r="BH96" s="432"/>
      <c r="BI96" s="432"/>
      <c r="BJ96" s="432"/>
      <c r="BK96" s="432"/>
      <c r="BL96" s="432"/>
      <c r="BM96" s="432"/>
      <c r="BN96" s="432"/>
      <c r="BO96" s="432"/>
      <c r="BP96" s="432"/>
      <c r="BQ96" s="432"/>
      <c r="BR96" s="432"/>
      <c r="BS96" s="432"/>
      <c r="BT96" s="432"/>
      <c r="BU96" s="432"/>
      <c r="BV96" s="432"/>
      <c r="BW96" s="432"/>
      <c r="BX96" s="432"/>
      <c r="BY96" s="432"/>
      <c r="BZ96" s="432"/>
      <c r="CA96" s="432"/>
      <c r="CB96" s="432"/>
      <c r="CC96" s="432"/>
      <c r="CD96" s="432"/>
      <c r="CE96" s="432"/>
      <c r="CF96" s="432"/>
      <c r="CG96" s="432"/>
      <c r="CH96" s="432"/>
      <c r="CI96" s="432"/>
      <c r="CJ96" s="432"/>
      <c r="CK96" s="432"/>
      <c r="CL96" s="432"/>
      <c r="CM96" s="432"/>
      <c r="CN96" s="432"/>
      <c r="CO96" s="432"/>
      <c r="CP96" s="432"/>
      <c r="CQ96" s="432"/>
      <c r="CR96" s="432"/>
    </row>
    <row r="97" spans="56:96" ht="12.75">
      <c r="BD97" s="96"/>
      <c r="BE97" s="529"/>
      <c r="BF97" s="96"/>
      <c r="BG97" s="96"/>
      <c r="BH97" s="96"/>
      <c r="BI97" s="96"/>
      <c r="BJ97" s="96"/>
      <c r="BK97" s="96"/>
      <c r="BL97" s="96"/>
      <c r="BM97" s="96"/>
      <c r="BN97" s="96"/>
      <c r="BO97" s="96"/>
      <c r="BP97" s="96"/>
      <c r="BQ97" s="96"/>
      <c r="BR97" s="96"/>
      <c r="BS97" s="96"/>
      <c r="BT97" s="96"/>
      <c r="BU97" s="96"/>
      <c r="BV97" s="96"/>
      <c r="BW97" s="96"/>
      <c r="BX97" s="96"/>
      <c r="BY97" s="96"/>
      <c r="BZ97" s="96"/>
      <c r="CA97" s="96"/>
      <c r="CB97" s="96"/>
      <c r="CC97" s="96"/>
      <c r="CD97" s="96"/>
      <c r="CE97" s="96"/>
      <c r="CF97" s="96"/>
      <c r="CG97" s="96"/>
      <c r="CH97" s="96"/>
      <c r="CI97" s="96"/>
      <c r="CJ97" s="96"/>
      <c r="CK97" s="96"/>
      <c r="CL97" s="96"/>
      <c r="CM97" s="96"/>
      <c r="CN97" s="96"/>
      <c r="CO97" s="96"/>
      <c r="CP97" s="96"/>
      <c r="CQ97" s="96"/>
      <c r="CR97" s="96"/>
    </row>
    <row r="98" spans="56:96" ht="12.75">
      <c r="BD98" s="96"/>
      <c r="BE98" s="529"/>
      <c r="BF98" s="96"/>
      <c r="BG98" s="96"/>
      <c r="BH98" s="96"/>
      <c r="BI98" s="96"/>
      <c r="BJ98" s="96"/>
      <c r="BK98" s="96"/>
      <c r="BL98" s="96"/>
      <c r="BM98" s="96"/>
      <c r="BN98" s="96"/>
      <c r="BO98" s="96"/>
      <c r="BP98" s="96"/>
      <c r="BQ98" s="96"/>
      <c r="BR98" s="96"/>
      <c r="BS98" s="96"/>
      <c r="BT98" s="96"/>
      <c r="BU98" s="96"/>
      <c r="BV98" s="96"/>
      <c r="BW98" s="96"/>
      <c r="BX98" s="96"/>
      <c r="BY98" s="96"/>
      <c r="BZ98" s="96"/>
      <c r="CA98" s="96"/>
      <c r="CB98" s="96"/>
      <c r="CC98" s="96"/>
      <c r="CD98" s="96"/>
      <c r="CE98" s="96"/>
      <c r="CF98" s="96"/>
      <c r="CG98" s="96"/>
      <c r="CH98" s="96"/>
      <c r="CI98" s="96"/>
      <c r="CJ98" s="96"/>
      <c r="CK98" s="96"/>
      <c r="CL98" s="96"/>
      <c r="CM98" s="96"/>
      <c r="CN98" s="96"/>
      <c r="CO98" s="96"/>
      <c r="CP98" s="96"/>
      <c r="CQ98" s="96"/>
      <c r="CR98" s="96"/>
    </row>
    <row r="99" spans="56:96" ht="12.75">
      <c r="BD99" s="412"/>
      <c r="BE99" s="413"/>
      <c r="BF99" s="96"/>
      <c r="BG99" s="96"/>
      <c r="BH99" s="96"/>
      <c r="BI99" s="96"/>
      <c r="BJ99" s="96"/>
      <c r="BK99" s="96"/>
      <c r="BL99" s="96"/>
      <c r="BM99" s="96"/>
      <c r="BN99" s="96"/>
      <c r="BO99" s="96"/>
      <c r="BP99" s="96"/>
      <c r="BQ99" s="96"/>
      <c r="BR99" s="96"/>
      <c r="BS99" s="96"/>
      <c r="BT99" s="96"/>
      <c r="BU99" s="96"/>
      <c r="BV99" s="96"/>
      <c r="BW99" s="96"/>
      <c r="BX99" s="96"/>
      <c r="BY99" s="96"/>
      <c r="BZ99" s="96"/>
      <c r="CA99" s="96"/>
      <c r="CB99" s="96"/>
      <c r="CC99" s="96"/>
      <c r="CD99" s="96"/>
      <c r="CE99" s="96"/>
      <c r="CF99" s="96"/>
      <c r="CG99" s="96"/>
      <c r="CH99" s="96"/>
      <c r="CI99" s="96"/>
      <c r="CJ99" s="96"/>
      <c r="CK99" s="96"/>
      <c r="CL99" s="96"/>
      <c r="CM99" s="96"/>
      <c r="CN99" s="96"/>
      <c r="CO99" s="96"/>
      <c r="CP99" s="96"/>
      <c r="CQ99" s="96"/>
      <c r="CR99" s="96"/>
    </row>
    <row r="100" spans="56:96" ht="12.75">
      <c r="BD100" s="96"/>
      <c r="BE100" s="531"/>
      <c r="BF100" s="96"/>
      <c r="BG100" s="96"/>
      <c r="BH100" s="96"/>
      <c r="BI100" s="96"/>
      <c r="BJ100" s="96"/>
      <c r="BK100" s="96"/>
      <c r="BL100" s="96"/>
      <c r="BM100" s="96"/>
      <c r="BN100" s="96"/>
      <c r="BO100" s="96"/>
      <c r="BP100" s="96"/>
      <c r="BQ100" s="96"/>
      <c r="BR100" s="96"/>
      <c r="BS100" s="96"/>
      <c r="BT100" s="96"/>
      <c r="BU100" s="96"/>
      <c r="BV100" s="96"/>
      <c r="BW100" s="96"/>
      <c r="BX100" s="96"/>
      <c r="BY100" s="96"/>
      <c r="BZ100" s="96"/>
      <c r="CA100" s="96"/>
      <c r="CB100" s="96"/>
      <c r="CC100" s="96"/>
      <c r="CD100" s="96"/>
      <c r="CE100" s="96"/>
      <c r="CF100" s="96"/>
      <c r="CG100" s="96"/>
      <c r="CH100" s="96"/>
      <c r="CI100" s="96"/>
      <c r="CJ100" s="96"/>
      <c r="CK100" s="96"/>
      <c r="CL100" s="96"/>
      <c r="CM100" s="96"/>
      <c r="CN100" s="96"/>
      <c r="CO100" s="96"/>
      <c r="CP100" s="96"/>
      <c r="CQ100" s="96"/>
      <c r="CR100" s="96"/>
    </row>
    <row r="101" spans="56:96" ht="12.75">
      <c r="BD101" s="532"/>
      <c r="BE101" s="413"/>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row>
    <row r="102" spans="56:96" ht="12.75">
      <c r="BD102" s="532"/>
      <c r="BE102" s="413"/>
      <c r="BF102" s="96"/>
      <c r="BG102" s="96"/>
      <c r="BH102" s="96"/>
      <c r="BI102" s="96"/>
      <c r="BJ102" s="96"/>
      <c r="BK102" s="96"/>
      <c r="BL102" s="96"/>
      <c r="BM102" s="96"/>
      <c r="BN102" s="96"/>
      <c r="BO102" s="96"/>
      <c r="BP102" s="96"/>
      <c r="BQ102" s="96"/>
      <c r="BR102" s="96"/>
      <c r="BS102" s="96"/>
      <c r="BT102" s="96"/>
      <c r="BU102" s="96"/>
      <c r="BV102" s="96"/>
      <c r="BW102" s="96"/>
      <c r="BX102" s="96"/>
      <c r="BY102" s="96"/>
      <c r="BZ102" s="96"/>
      <c r="CA102" s="96"/>
      <c r="CB102" s="96"/>
      <c r="CC102" s="96"/>
      <c r="CD102" s="96"/>
      <c r="CE102" s="96"/>
      <c r="CF102" s="96"/>
      <c r="CG102" s="96"/>
      <c r="CH102" s="96"/>
      <c r="CI102" s="96"/>
      <c r="CJ102" s="96"/>
      <c r="CK102" s="96"/>
      <c r="CL102" s="96"/>
      <c r="CM102" s="96"/>
      <c r="CN102" s="96"/>
      <c r="CO102" s="96"/>
      <c r="CP102" s="96"/>
      <c r="CQ102" s="96"/>
      <c r="CR102" s="96"/>
    </row>
    <row r="103" spans="56:96" ht="12.75">
      <c r="BD103" s="532"/>
      <c r="BE103" s="413"/>
      <c r="BF103" s="96"/>
      <c r="BG103" s="96"/>
      <c r="BH103" s="96"/>
      <c r="BI103" s="96"/>
      <c r="BJ103" s="96"/>
      <c r="BK103" s="96"/>
      <c r="BL103" s="96"/>
      <c r="BM103" s="96"/>
      <c r="BN103" s="96"/>
      <c r="BO103" s="96"/>
      <c r="BP103" s="96"/>
      <c r="BQ103" s="96"/>
      <c r="BR103" s="96"/>
      <c r="BS103" s="96"/>
      <c r="BT103" s="96"/>
      <c r="BU103" s="96"/>
      <c r="BV103" s="96"/>
      <c r="BW103" s="96"/>
      <c r="BX103" s="96"/>
      <c r="BY103" s="96"/>
      <c r="BZ103" s="96"/>
      <c r="CA103" s="96"/>
      <c r="CB103" s="96"/>
      <c r="CC103" s="96"/>
      <c r="CD103" s="96"/>
      <c r="CE103" s="96"/>
      <c r="CF103" s="96"/>
      <c r="CG103" s="96"/>
      <c r="CH103" s="96"/>
      <c r="CI103" s="96"/>
      <c r="CJ103" s="96"/>
      <c r="CK103" s="96"/>
      <c r="CL103" s="96"/>
      <c r="CM103" s="96"/>
      <c r="CN103" s="96"/>
      <c r="CO103" s="96"/>
      <c r="CP103" s="96"/>
      <c r="CQ103" s="96"/>
      <c r="CR103" s="96"/>
    </row>
    <row r="104" spans="56:96" ht="12.75">
      <c r="BD104" s="532"/>
      <c r="BE104" s="413"/>
      <c r="BF104" s="96"/>
      <c r="BG104" s="96"/>
      <c r="BH104" s="96"/>
      <c r="BI104" s="96"/>
      <c r="BJ104" s="96"/>
      <c r="BK104" s="96"/>
      <c r="BL104" s="96"/>
      <c r="BM104" s="96"/>
      <c r="BN104" s="96"/>
      <c r="BO104" s="96"/>
      <c r="BP104" s="96"/>
      <c r="BQ104" s="96"/>
      <c r="BR104" s="96"/>
      <c r="BS104" s="96"/>
      <c r="BT104" s="96"/>
      <c r="BU104" s="96"/>
      <c r="BV104" s="96"/>
      <c r="BW104" s="96"/>
      <c r="BX104" s="96"/>
      <c r="BY104" s="96"/>
      <c r="BZ104" s="96"/>
      <c r="CA104" s="96"/>
      <c r="CB104" s="96"/>
      <c r="CC104" s="96"/>
      <c r="CD104" s="96"/>
      <c r="CE104" s="96"/>
      <c r="CF104" s="96"/>
      <c r="CG104" s="96"/>
      <c r="CH104" s="96"/>
      <c r="CI104" s="96"/>
      <c r="CJ104" s="96"/>
      <c r="CK104" s="96"/>
      <c r="CL104" s="96"/>
      <c r="CM104" s="96"/>
      <c r="CN104" s="96"/>
      <c r="CO104" s="96"/>
      <c r="CP104" s="96"/>
      <c r="CQ104" s="96"/>
      <c r="CR104" s="96"/>
    </row>
    <row r="105" spans="56:96" ht="12.75">
      <c r="BD105" s="532"/>
      <c r="BE105" s="413"/>
      <c r="BF105" s="96"/>
      <c r="BG105" s="96"/>
      <c r="BH105" s="96"/>
      <c r="BI105" s="96"/>
      <c r="BJ105" s="96"/>
      <c r="BK105" s="96"/>
      <c r="BL105" s="96"/>
      <c r="BM105" s="96"/>
      <c r="BN105" s="96"/>
      <c r="BO105" s="96"/>
      <c r="BP105" s="96"/>
      <c r="BQ105" s="96"/>
      <c r="BR105" s="96"/>
      <c r="BS105" s="96"/>
      <c r="BT105" s="96"/>
      <c r="BU105" s="96"/>
      <c r="BV105" s="96"/>
      <c r="BW105" s="96"/>
      <c r="BX105" s="96"/>
      <c r="BY105" s="96"/>
      <c r="BZ105" s="96"/>
      <c r="CA105" s="96"/>
      <c r="CB105" s="96"/>
      <c r="CC105" s="96"/>
      <c r="CD105" s="96"/>
      <c r="CE105" s="96"/>
      <c r="CF105" s="96"/>
      <c r="CG105" s="96"/>
      <c r="CH105" s="96"/>
      <c r="CI105" s="96"/>
      <c r="CJ105" s="96"/>
      <c r="CK105" s="96"/>
      <c r="CL105" s="96"/>
      <c r="CM105" s="96"/>
      <c r="CN105" s="96"/>
      <c r="CO105" s="96"/>
      <c r="CP105" s="96"/>
      <c r="CQ105" s="96"/>
      <c r="CR105" s="96"/>
    </row>
    <row r="106" spans="56:96" ht="12.75">
      <c r="BD106" s="532"/>
      <c r="BE106" s="413"/>
      <c r="BF106" s="96"/>
      <c r="BG106" s="96"/>
      <c r="BH106" s="96"/>
      <c r="BI106" s="96"/>
      <c r="BJ106" s="96"/>
      <c r="BK106" s="96"/>
      <c r="BL106" s="96"/>
      <c r="BM106" s="96"/>
      <c r="BN106" s="96"/>
      <c r="BO106" s="96"/>
      <c r="BP106" s="96"/>
      <c r="BQ106" s="96"/>
      <c r="BR106" s="96"/>
      <c r="BS106" s="96"/>
      <c r="BT106" s="96"/>
      <c r="BU106" s="96"/>
      <c r="BV106" s="96"/>
      <c r="BW106" s="96"/>
      <c r="BX106" s="96"/>
      <c r="BY106" s="96"/>
      <c r="BZ106" s="96"/>
      <c r="CA106" s="96"/>
      <c r="CB106" s="96"/>
      <c r="CC106" s="96"/>
      <c r="CD106" s="96"/>
      <c r="CE106" s="96"/>
      <c r="CF106" s="96"/>
      <c r="CG106" s="96"/>
      <c r="CH106" s="96"/>
      <c r="CI106" s="96"/>
      <c r="CJ106" s="96"/>
      <c r="CK106" s="96"/>
      <c r="CL106" s="96"/>
      <c r="CM106" s="96"/>
      <c r="CN106" s="96"/>
      <c r="CO106" s="96"/>
      <c r="CP106" s="96"/>
      <c r="CQ106" s="96"/>
      <c r="CR106" s="96"/>
    </row>
    <row r="107" spans="56:96" ht="12.75">
      <c r="BD107" s="532"/>
      <c r="BE107" s="413"/>
      <c r="BF107" s="96"/>
      <c r="BG107" s="96"/>
      <c r="BH107" s="96"/>
      <c r="BI107" s="96"/>
      <c r="BJ107" s="96"/>
      <c r="BK107" s="96"/>
      <c r="BL107" s="96"/>
      <c r="BM107" s="96"/>
      <c r="BN107" s="96"/>
      <c r="BO107" s="96"/>
      <c r="BP107" s="96"/>
      <c r="BQ107" s="96"/>
      <c r="BR107" s="96"/>
      <c r="BS107" s="96"/>
      <c r="BT107" s="96"/>
      <c r="BU107" s="96"/>
      <c r="BV107" s="96"/>
      <c r="BW107" s="96"/>
      <c r="BX107" s="96"/>
      <c r="BY107" s="96"/>
      <c r="BZ107" s="96"/>
      <c r="CA107" s="96"/>
      <c r="CB107" s="96"/>
      <c r="CC107" s="96"/>
      <c r="CD107" s="96"/>
      <c r="CE107" s="96"/>
      <c r="CF107" s="96"/>
      <c r="CG107" s="96"/>
      <c r="CH107" s="96"/>
      <c r="CI107" s="96"/>
      <c r="CJ107" s="96"/>
      <c r="CK107" s="96"/>
      <c r="CL107" s="96"/>
      <c r="CM107" s="96"/>
      <c r="CN107" s="96"/>
      <c r="CO107" s="96"/>
      <c r="CP107" s="96"/>
      <c r="CQ107" s="96"/>
      <c r="CR107" s="96"/>
    </row>
    <row r="108" spans="56:96" ht="12.75">
      <c r="BD108" s="532"/>
      <c r="BE108" s="413"/>
      <c r="BF108" s="96"/>
      <c r="BG108" s="96"/>
      <c r="BH108" s="96"/>
      <c r="BI108" s="96"/>
      <c r="BJ108" s="96"/>
      <c r="BK108" s="96"/>
      <c r="BL108" s="96"/>
      <c r="BM108" s="96"/>
      <c r="BN108" s="96"/>
      <c r="BO108" s="96"/>
      <c r="BP108" s="96"/>
      <c r="BQ108" s="96"/>
      <c r="BR108" s="96"/>
      <c r="BS108" s="96"/>
      <c r="BT108" s="96"/>
      <c r="BU108" s="96"/>
      <c r="BV108" s="96"/>
      <c r="BW108" s="96"/>
      <c r="BX108" s="96"/>
      <c r="BY108" s="96"/>
      <c r="BZ108" s="96"/>
      <c r="CA108" s="96"/>
      <c r="CB108" s="96"/>
      <c r="CC108" s="96"/>
      <c r="CD108" s="96"/>
      <c r="CE108" s="96"/>
      <c r="CF108" s="96"/>
      <c r="CG108" s="96"/>
      <c r="CH108" s="96"/>
      <c r="CI108" s="96"/>
      <c r="CJ108" s="96"/>
      <c r="CK108" s="96"/>
      <c r="CL108" s="96"/>
      <c r="CM108" s="96"/>
      <c r="CN108" s="96"/>
      <c r="CO108" s="96"/>
      <c r="CP108" s="96"/>
      <c r="CQ108" s="96"/>
      <c r="CR108" s="96"/>
    </row>
    <row r="109" spans="56:96" ht="12.75">
      <c r="BD109" s="532"/>
      <c r="BE109" s="413"/>
      <c r="BF109" s="96"/>
      <c r="BG109" s="96"/>
      <c r="BH109" s="96"/>
      <c r="BI109" s="96"/>
      <c r="BJ109" s="96"/>
      <c r="BK109" s="96"/>
      <c r="BL109" s="96"/>
      <c r="BM109" s="96"/>
      <c r="BN109" s="96"/>
      <c r="BO109" s="96"/>
      <c r="BP109" s="96"/>
      <c r="BQ109" s="96"/>
      <c r="BR109" s="96"/>
      <c r="BS109" s="96"/>
      <c r="BT109" s="96"/>
      <c r="BU109" s="96"/>
      <c r="BV109" s="96"/>
      <c r="BW109" s="96"/>
      <c r="BX109" s="96"/>
      <c r="BY109" s="96"/>
      <c r="BZ109" s="96"/>
      <c r="CA109" s="96"/>
      <c r="CB109" s="96"/>
      <c r="CC109" s="96"/>
      <c r="CD109" s="96"/>
      <c r="CE109" s="96"/>
      <c r="CF109" s="96"/>
      <c r="CG109" s="96"/>
      <c r="CH109" s="96"/>
      <c r="CI109" s="96"/>
      <c r="CJ109" s="96"/>
      <c r="CK109" s="96"/>
      <c r="CL109" s="96"/>
      <c r="CM109" s="96"/>
      <c r="CN109" s="96"/>
      <c r="CO109" s="96"/>
      <c r="CP109" s="96"/>
      <c r="CQ109" s="96"/>
      <c r="CR109" s="96"/>
    </row>
    <row r="110" spans="56:96" ht="12.75">
      <c r="BD110" s="96"/>
      <c r="BE110" s="529"/>
      <c r="BF110" s="96"/>
      <c r="BG110" s="96"/>
      <c r="BH110" s="96"/>
      <c r="BI110" s="114"/>
      <c r="BJ110" s="114"/>
      <c r="BK110" s="114"/>
      <c r="BL110" s="114"/>
      <c r="BM110" s="114"/>
      <c r="BN110" s="114"/>
      <c r="BO110" s="114"/>
      <c r="BP110" s="114"/>
      <c r="BQ110" s="114"/>
      <c r="BR110" s="114"/>
      <c r="BS110" s="114"/>
      <c r="BT110" s="114"/>
      <c r="BU110" s="114"/>
      <c r="BV110" s="114"/>
      <c r="BW110" s="96"/>
      <c r="BX110" s="96"/>
      <c r="BY110" s="96"/>
      <c r="BZ110" s="96"/>
      <c r="CA110" s="96"/>
      <c r="CB110" s="96"/>
      <c r="CC110" s="96"/>
      <c r="CD110" s="96"/>
      <c r="CE110" s="96"/>
      <c r="CF110" s="96"/>
      <c r="CG110" s="96"/>
      <c r="CH110" s="96"/>
      <c r="CI110" s="114"/>
      <c r="CJ110" s="114"/>
      <c r="CK110" s="96"/>
      <c r="CL110" s="96"/>
      <c r="CM110" s="96"/>
      <c r="CN110" s="96"/>
      <c r="CO110" s="96"/>
      <c r="CP110" s="96"/>
      <c r="CQ110" s="96"/>
      <c r="CR110" s="96"/>
    </row>
    <row r="111" spans="56:96" ht="12.75">
      <c r="BD111" s="96"/>
      <c r="BE111" s="529"/>
      <c r="BF111" s="96"/>
      <c r="BG111" s="96"/>
      <c r="BH111" s="96"/>
      <c r="BI111" s="114"/>
      <c r="BJ111" s="114"/>
      <c r="BK111" s="114"/>
      <c r="BL111" s="114"/>
      <c r="BM111" s="114"/>
      <c r="BN111" s="114"/>
      <c r="BO111" s="114"/>
      <c r="BP111" s="114"/>
      <c r="BQ111" s="114"/>
      <c r="BR111" s="114"/>
      <c r="BS111" s="114"/>
      <c r="BT111" s="114"/>
      <c r="BU111" s="114"/>
      <c r="BV111" s="114"/>
      <c r="BW111" s="96"/>
      <c r="BX111" s="96"/>
      <c r="BY111" s="96"/>
      <c r="BZ111" s="96"/>
      <c r="CA111" s="96"/>
      <c r="CB111" s="96"/>
      <c r="CC111" s="96"/>
      <c r="CD111" s="96"/>
      <c r="CE111" s="96"/>
      <c r="CF111" s="96"/>
      <c r="CG111" s="96"/>
      <c r="CH111" s="96"/>
      <c r="CI111" s="114"/>
      <c r="CJ111" s="114"/>
      <c r="CK111" s="96"/>
      <c r="CL111" s="96"/>
      <c r="CM111" s="96"/>
      <c r="CN111" s="96"/>
      <c r="CO111" s="96"/>
      <c r="CP111" s="96"/>
      <c r="CQ111" s="96"/>
      <c r="CR111" s="96"/>
    </row>
    <row r="112" spans="56:96" ht="12.75">
      <c r="BD112" s="412"/>
      <c r="BE112" s="413"/>
      <c r="BF112" s="96"/>
      <c r="BG112" s="96"/>
      <c r="BH112" s="96"/>
      <c r="BI112" s="96"/>
      <c r="BJ112" s="96"/>
      <c r="BK112" s="96"/>
      <c r="BL112" s="96"/>
      <c r="BM112" s="96"/>
      <c r="BN112" s="96"/>
      <c r="BO112" s="96"/>
      <c r="BP112" s="96"/>
      <c r="BQ112" s="96"/>
      <c r="BR112" s="96"/>
      <c r="BS112" s="96"/>
      <c r="BT112" s="96"/>
      <c r="BU112" s="96"/>
      <c r="BV112" s="96"/>
      <c r="BW112" s="96"/>
      <c r="BX112" s="96"/>
      <c r="BY112" s="96"/>
      <c r="BZ112" s="96"/>
      <c r="CA112" s="96"/>
      <c r="CB112" s="96"/>
      <c r="CC112" s="96"/>
      <c r="CD112" s="96"/>
      <c r="CE112" s="96"/>
      <c r="CF112" s="96"/>
      <c r="CG112" s="96"/>
      <c r="CH112" s="96"/>
      <c r="CI112" s="96"/>
      <c r="CJ112" s="96"/>
      <c r="CK112" s="96"/>
      <c r="CL112" s="96"/>
      <c r="CM112" s="96"/>
      <c r="CN112" s="96"/>
      <c r="CO112" s="96"/>
      <c r="CP112" s="96"/>
      <c r="CQ112" s="96"/>
      <c r="CR112" s="96"/>
    </row>
    <row r="113" spans="56:96" ht="12.75">
      <c r="BD113" s="96"/>
      <c r="BE113" s="529"/>
      <c r="BF113" s="96"/>
      <c r="BG113" s="96"/>
      <c r="BH113" s="96"/>
      <c r="BI113" s="96"/>
      <c r="BJ113" s="96"/>
      <c r="BK113" s="96"/>
      <c r="BL113" s="96"/>
      <c r="BM113" s="96"/>
      <c r="BN113" s="96"/>
      <c r="BO113" s="96"/>
      <c r="BP113" s="96"/>
      <c r="BQ113" s="96"/>
      <c r="BR113" s="96"/>
      <c r="BS113" s="96"/>
      <c r="BT113" s="96"/>
      <c r="BU113" s="96"/>
      <c r="BV113" s="96"/>
      <c r="BW113" s="96"/>
      <c r="BX113" s="96"/>
      <c r="BY113" s="96"/>
      <c r="BZ113" s="96"/>
      <c r="CA113" s="96"/>
      <c r="CB113" s="96"/>
      <c r="CC113" s="96"/>
      <c r="CD113" s="96"/>
      <c r="CE113" s="96"/>
      <c r="CF113" s="96"/>
      <c r="CG113" s="96"/>
      <c r="CH113" s="96"/>
      <c r="CI113" s="96"/>
      <c r="CJ113" s="96"/>
      <c r="CK113" s="96"/>
      <c r="CL113" s="96"/>
      <c r="CM113" s="96"/>
      <c r="CN113" s="96"/>
      <c r="CO113" s="96"/>
      <c r="CP113" s="96"/>
      <c r="CQ113" s="96"/>
      <c r="CR113" s="96"/>
    </row>
    <row r="114" spans="56:96" ht="12.75">
      <c r="BD114" s="432"/>
      <c r="BE114" s="432"/>
      <c r="BF114" s="432"/>
      <c r="BG114" s="96"/>
      <c r="BH114" s="96"/>
      <c r="BI114" s="96"/>
      <c r="BJ114" s="96"/>
      <c r="BK114" s="96"/>
      <c r="BL114" s="96"/>
      <c r="BM114" s="96"/>
      <c r="BN114" s="96"/>
      <c r="BO114" s="96"/>
      <c r="BP114" s="96"/>
      <c r="BQ114" s="96"/>
      <c r="BR114" s="96"/>
      <c r="BS114" s="96"/>
      <c r="BT114" s="96"/>
      <c r="BU114" s="96"/>
      <c r="BV114" s="96"/>
      <c r="BW114" s="96"/>
      <c r="BX114" s="96"/>
      <c r="BY114" s="96"/>
      <c r="BZ114" s="96"/>
      <c r="CA114" s="96"/>
      <c r="CB114" s="96"/>
      <c r="CC114" s="96"/>
      <c r="CD114" s="96"/>
      <c r="CE114" s="96"/>
      <c r="CF114" s="96"/>
      <c r="CG114" s="96"/>
      <c r="CH114" s="96"/>
      <c r="CI114" s="96"/>
      <c r="CJ114" s="96"/>
      <c r="CK114" s="96"/>
      <c r="CL114" s="96"/>
      <c r="CM114" s="96"/>
      <c r="CN114" s="96"/>
      <c r="CO114" s="96"/>
      <c r="CP114" s="96"/>
      <c r="CQ114" s="96"/>
      <c r="CR114" s="96"/>
    </row>
    <row r="115" spans="58:96" ht="12.75">
      <c r="BF115" s="96"/>
      <c r="BG115" s="432"/>
      <c r="BH115" s="432"/>
      <c r="BI115" s="114"/>
      <c r="BJ115" s="114"/>
      <c r="BK115" s="114"/>
      <c r="BL115" s="114"/>
      <c r="BM115" s="114"/>
      <c r="BN115" s="114"/>
      <c r="BO115" s="114"/>
      <c r="BP115" s="114"/>
      <c r="BQ115" s="114"/>
      <c r="BR115" s="114"/>
      <c r="BS115" s="114"/>
      <c r="BT115" s="114"/>
      <c r="BU115" s="114"/>
      <c r="BV115" s="114"/>
      <c r="BW115" s="96"/>
      <c r="BX115" s="96"/>
      <c r="BY115" s="96"/>
      <c r="BZ115" s="96"/>
      <c r="CA115" s="96"/>
      <c r="CB115" s="96"/>
      <c r="CC115" s="96"/>
      <c r="CD115" s="96"/>
      <c r="CE115" s="96"/>
      <c r="CF115" s="96"/>
      <c r="CG115" s="96"/>
      <c r="CH115" s="96"/>
      <c r="CI115" s="114"/>
      <c r="CJ115" s="114"/>
      <c r="CK115" s="96"/>
      <c r="CL115" s="96"/>
      <c r="CM115" s="96"/>
      <c r="CN115" s="96"/>
      <c r="CO115" s="96"/>
      <c r="CP115" s="96"/>
      <c r="CQ115" s="96"/>
      <c r="CR115" s="96"/>
    </row>
    <row r="116" spans="58:96" ht="12.75">
      <c r="BF116" s="432"/>
      <c r="BG116" s="432"/>
      <c r="BH116" s="432"/>
      <c r="BI116" s="432"/>
      <c r="BJ116" s="432"/>
      <c r="BK116" s="432"/>
      <c r="BL116" s="432"/>
      <c r="BM116" s="432"/>
      <c r="BN116" s="432"/>
      <c r="BO116" s="432"/>
      <c r="BP116" s="432"/>
      <c r="BQ116" s="432"/>
      <c r="BR116" s="432"/>
      <c r="BS116" s="432"/>
      <c r="BT116" s="432"/>
      <c r="BU116" s="432"/>
      <c r="BV116" s="432"/>
      <c r="BW116" s="432"/>
      <c r="BX116" s="432"/>
      <c r="BY116" s="432"/>
      <c r="BZ116" s="432"/>
      <c r="CA116" s="432"/>
      <c r="CB116" s="432"/>
      <c r="CC116" s="432"/>
      <c r="CD116" s="432"/>
      <c r="CE116" s="432"/>
      <c r="CF116" s="432"/>
      <c r="CG116" s="432"/>
      <c r="CH116" s="432"/>
      <c r="CI116" s="432"/>
      <c r="CJ116" s="432"/>
      <c r="CK116" s="432"/>
      <c r="CL116" s="432"/>
      <c r="CM116" s="432"/>
      <c r="CN116" s="432"/>
      <c r="CO116" s="432"/>
      <c r="CP116" s="432"/>
      <c r="CQ116" s="432"/>
      <c r="CR116" s="432"/>
    </row>
    <row r="117" spans="56:96" ht="12.75">
      <c r="BD117" s="432"/>
      <c r="BE117" s="533"/>
      <c r="BF117" s="432"/>
      <c r="BG117" s="432"/>
      <c r="BH117" s="432"/>
      <c r="BI117" s="432"/>
      <c r="BJ117" s="432"/>
      <c r="BK117" s="432"/>
      <c r="BL117" s="432"/>
      <c r="BM117" s="432"/>
      <c r="BN117" s="432"/>
      <c r="BO117" s="432"/>
      <c r="BP117" s="432"/>
      <c r="BQ117" s="432"/>
      <c r="BR117" s="432"/>
      <c r="BS117" s="432"/>
      <c r="BT117" s="432"/>
      <c r="BU117" s="432"/>
      <c r="BV117" s="432"/>
      <c r="BW117" s="432"/>
      <c r="BX117" s="432"/>
      <c r="BY117" s="432"/>
      <c r="BZ117" s="432"/>
      <c r="CA117" s="432"/>
      <c r="CB117" s="432"/>
      <c r="CC117" s="432"/>
      <c r="CD117" s="432"/>
      <c r="CE117" s="432"/>
      <c r="CF117" s="432"/>
      <c r="CG117" s="432"/>
      <c r="CH117" s="432"/>
      <c r="CI117" s="432"/>
      <c r="CJ117" s="432"/>
      <c r="CK117" s="432"/>
      <c r="CL117" s="432"/>
      <c r="CM117" s="432"/>
      <c r="CN117" s="432"/>
      <c r="CO117" s="432"/>
      <c r="CP117" s="432"/>
      <c r="CQ117" s="432"/>
      <c r="CR117" s="432"/>
    </row>
  </sheetData>
  <sheetProtection sheet="1" objects="1" scenarios="1" formatCells="0" formatColumns="0" formatRows="0" insertColumns="0"/>
  <mergeCells count="36">
    <mergeCell ref="D33:BB33"/>
    <mergeCell ref="AM34:AT34"/>
    <mergeCell ref="D52:BB52"/>
    <mergeCell ref="D51:BB51"/>
    <mergeCell ref="J38:N41"/>
    <mergeCell ref="U34:AB34"/>
    <mergeCell ref="U38:AB38"/>
    <mergeCell ref="U42:AB42"/>
    <mergeCell ref="AM38:AT38"/>
    <mergeCell ref="AM44:AT44"/>
    <mergeCell ref="D62:BB62"/>
    <mergeCell ref="D63:BB63"/>
    <mergeCell ref="D64:BB64"/>
    <mergeCell ref="D58:BB58"/>
    <mergeCell ref="D60:BB60"/>
    <mergeCell ref="D59:BB59"/>
    <mergeCell ref="D71:BB71"/>
    <mergeCell ref="D55:BB55"/>
    <mergeCell ref="D61:BB61"/>
    <mergeCell ref="C5:AN5"/>
    <mergeCell ref="D30:BB30"/>
    <mergeCell ref="D53:BB53"/>
    <mergeCell ref="D54:BB54"/>
    <mergeCell ref="D32:BB32"/>
    <mergeCell ref="D56:BB56"/>
    <mergeCell ref="AM40:AT40"/>
    <mergeCell ref="U46:AB46"/>
    <mergeCell ref="D69:BB69"/>
    <mergeCell ref="D31:BB31"/>
    <mergeCell ref="D57:BB57"/>
    <mergeCell ref="D72:BB72"/>
    <mergeCell ref="D65:BB65"/>
    <mergeCell ref="D66:BB66"/>
    <mergeCell ref="D67:BB67"/>
    <mergeCell ref="D68:BB68"/>
    <mergeCell ref="D70:BB70"/>
  </mergeCells>
  <conditionalFormatting sqref="F8 H8 J8 L8 N8 P8 R8 T8 V8 X8 Z8 AB8 AD8 AF8 AH8 AJ8 AL8 AN8 AP8 AR8 AT8 AV8 AX8 AZ8">
    <cfRule type="cellIs" priority="8" dxfId="212" operator="lessThan" stopIfTrue="1">
      <formula>0.99*(F9+F10+F11+F12+F14+F15+F16)</formula>
    </cfRule>
  </conditionalFormatting>
  <conditionalFormatting sqref="F17 H17 J17 L17 N17 P17 R17 T17 V17 X17 Z17 AB17 AD17 AF17 AH17 AJ17 AL17 AN17 AP17 AR17 AT17 AV17 AX17 AZ17">
    <cfRule type="cellIs" priority="7" dxfId="212" operator="lessThan" stopIfTrue="1">
      <formula>0.99*(F18+F19+F20)</formula>
    </cfRule>
  </conditionalFormatting>
  <conditionalFormatting sqref="F21 H21 J21 L21 N21 P21 R21 T21 V21 X21 Z21 AB21 AD21 AF21 AH21 AJ21 AL21 AN21 AP21 AR21 AT21 AV21 AX21 AZ21">
    <cfRule type="cellIs" priority="6" dxfId="212" operator="lessThan" stopIfTrue="1">
      <formula>0.99*(F22+F23+F24)</formula>
    </cfRule>
  </conditionalFormatting>
  <conditionalFormatting sqref="BG42:DA42 BG36:DA36 BG47:DA47">
    <cfRule type="cellIs" priority="5" dxfId="211" operator="equal" stopIfTrue="1">
      <formula>"&lt;&gt;"</formula>
    </cfRule>
  </conditionalFormatting>
  <conditionalFormatting sqref="BI8:BI27">
    <cfRule type="cellIs" priority="3" dxfId="211" operator="equal" stopIfTrue="1">
      <formula>"&gt; 100%"</formula>
    </cfRule>
  </conditionalFormatting>
  <conditionalFormatting sqref="BS8:BS27 BU8:BU27 BW8:BW27 BY8:BY27 CA8:CA27 CC8:CC27 CE8:CE27 CG8:CG27 CI8:CI27 CK8:CK27 CM8:CM27 CO8:CO27 CQ8:CQ27 CS8:CS27 CU8:CU27 BK8:BK27 BM8:BM27 BO8:BO27 BQ8:BQ27 DA8:DA27">
    <cfRule type="cellIs" priority="4" dxfId="211" operator="equal" stopIfTrue="1">
      <formula>"&gt; 25%"</formula>
    </cfRule>
  </conditionalFormatting>
  <conditionalFormatting sqref="BG33:DA33">
    <cfRule type="cellIs" priority="2" dxfId="211" operator="equal" stopIfTrue="1">
      <formula>"&lt;&gt;"</formula>
    </cfRule>
  </conditionalFormatting>
  <conditionalFormatting sqref="CW8:CW27 CY8:CY27">
    <cfRule type="cellIs" priority="1" dxfId="211" operator="equal" stopIfTrue="1">
      <formula>"&gt; 25%"</formula>
    </cfRule>
  </conditionalFormatting>
  <printOptions horizontalCentered="1"/>
  <pageMargins left="0.56" right="0.4" top="0.31" bottom="0.46" header="0.18" footer="0.25"/>
  <pageSetup fitToHeight="0" fitToWidth="1" horizontalDpi="600" verticalDpi="600" orientation="landscape" paperSize="9" scale="53" r:id="rId4"/>
  <headerFooter alignWithMargins="0">
    <oddFooter>&amp;C&amp;"Arial,Regular"&amp;8UNSD/United Nations Environment Programme Questionnaire 2018 on Environment Statistics - Water Section - p.&amp;P</oddFooter>
  </headerFooter>
  <rowBreaks count="1" manualBreakCount="1">
    <brk id="47" min="2" max="43" man="1"/>
  </rowBreak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DN73"/>
  <sheetViews>
    <sheetView showGridLines="0" zoomScale="85" zoomScaleNormal="85" zoomScaleSheetLayoutView="40" zoomScalePageLayoutView="55" workbookViewId="0" topLeftCell="C1">
      <selection activeCell="C1" sqref="C1"/>
    </sheetView>
  </sheetViews>
  <sheetFormatPr defaultColWidth="9.33203125" defaultRowHeight="12.75"/>
  <cols>
    <col min="1" max="1" width="8" style="180" hidden="1" customWidth="1"/>
    <col min="2" max="2" width="8.5" style="181" hidden="1" customWidth="1"/>
    <col min="3" max="3" width="9.5" style="193" customWidth="1"/>
    <col min="4" max="4" width="32.83203125" style="193" customWidth="1"/>
    <col min="5" max="5" width="8.66015625" style="193" customWidth="1"/>
    <col min="6" max="6" width="7.16015625" style="193" customWidth="1"/>
    <col min="7" max="7" width="1.83203125" style="193" customWidth="1"/>
    <col min="8" max="8" width="7" style="221" customWidth="1"/>
    <col min="9" max="9" width="1.83203125" style="222" customWidth="1"/>
    <col min="10" max="10" width="7" style="223" customWidth="1"/>
    <col min="11" max="11" width="1.83203125" style="222" customWidth="1"/>
    <col min="12" max="12" width="7" style="223" customWidth="1"/>
    <col min="13" max="13" width="1.83203125" style="222" customWidth="1"/>
    <col min="14" max="14" width="7" style="223" customWidth="1"/>
    <col min="15" max="15" width="1.83203125" style="222" customWidth="1"/>
    <col min="16" max="16" width="7" style="223" customWidth="1"/>
    <col min="17" max="17" width="1.83203125" style="222" customWidth="1"/>
    <col min="18" max="18" width="7" style="223" customWidth="1"/>
    <col min="19" max="19" width="1.83203125" style="222" customWidth="1"/>
    <col min="20" max="20" width="7" style="223" customWidth="1"/>
    <col min="21" max="21" width="1.83203125" style="222" customWidth="1"/>
    <col min="22" max="22" width="7" style="223" customWidth="1"/>
    <col min="23" max="23" width="1.83203125" style="222" customWidth="1"/>
    <col min="24" max="24" width="7" style="221" customWidth="1"/>
    <col min="25" max="25" width="1.83203125" style="222" customWidth="1"/>
    <col min="26" max="26" width="7" style="221" customWidth="1"/>
    <col min="27" max="27" width="1.83203125" style="222" customWidth="1"/>
    <col min="28" max="28" width="7" style="221" customWidth="1"/>
    <col min="29" max="29" width="1.83203125" style="222" customWidth="1"/>
    <col min="30" max="30" width="7" style="221" customWidth="1"/>
    <col min="31" max="31" width="1.83203125" style="222" customWidth="1"/>
    <col min="32" max="32" width="7" style="221" customWidth="1"/>
    <col min="33" max="33" width="1.83203125" style="222" customWidth="1"/>
    <col min="34" max="34" width="7" style="221" customWidth="1"/>
    <col min="35" max="35" width="1.83203125" style="222" customWidth="1"/>
    <col min="36" max="36" width="7" style="223" customWidth="1"/>
    <col min="37" max="37" width="1.83203125" style="222" customWidth="1"/>
    <col min="38" max="38" width="7" style="221" customWidth="1"/>
    <col min="39" max="39" width="1.83203125" style="222" customWidth="1"/>
    <col min="40" max="40" width="7" style="221" customWidth="1"/>
    <col min="41" max="41" width="1.83203125" style="207" customWidth="1"/>
    <col min="42" max="42" width="7" style="207" customWidth="1"/>
    <col min="43" max="43" width="1.83203125" style="207" customWidth="1"/>
    <col min="44" max="44" width="7" style="207" customWidth="1"/>
    <col min="45" max="45" width="1.83203125" style="207" customWidth="1"/>
    <col min="46" max="46" width="7" style="221" customWidth="1"/>
    <col min="47" max="47" width="1.83203125" style="222" customWidth="1"/>
    <col min="48" max="48" width="7" style="207" customWidth="1"/>
    <col min="49" max="49" width="1.83203125" style="207" customWidth="1"/>
    <col min="50" max="50" width="7" style="221" customWidth="1"/>
    <col min="51" max="51" width="1.83203125" style="222" customWidth="1"/>
    <col min="52" max="52" width="7" style="221" customWidth="1"/>
    <col min="53" max="53" width="1.83203125" style="222" customWidth="1"/>
    <col min="54" max="54" width="1.83203125" style="193" customWidth="1"/>
    <col min="55" max="55" width="6.66015625" style="191" customWidth="1"/>
    <col min="56" max="56" width="30.66015625" style="191" customWidth="1"/>
    <col min="57" max="57" width="7.16015625" style="191" customWidth="1"/>
    <col min="58" max="58" width="6.5" style="191" customWidth="1"/>
    <col min="59" max="59" width="2.16015625" style="191" customWidth="1"/>
    <col min="60" max="60" width="6.5" style="191" customWidth="1"/>
    <col min="61" max="61" width="1.171875" style="191" customWidth="1"/>
    <col min="62" max="62" width="6.5" style="191" customWidth="1"/>
    <col min="63" max="63" width="1.171875" style="191" customWidth="1"/>
    <col min="64" max="64" width="6.5" style="191" customWidth="1"/>
    <col min="65" max="65" width="1.5" style="191" customWidth="1"/>
    <col min="66" max="66" width="6.5" style="191" customWidth="1"/>
    <col min="67" max="67" width="1.5" style="191" customWidth="1"/>
    <col min="68" max="68" width="6.5" style="191" customWidth="1"/>
    <col min="69" max="69" width="1.171875" style="191" customWidth="1"/>
    <col min="70" max="70" width="6.5" style="191" customWidth="1"/>
    <col min="71" max="71" width="1.5" style="191" customWidth="1"/>
    <col min="72" max="72" width="6.5" style="191" customWidth="1"/>
    <col min="73" max="73" width="1.5" style="191" customWidth="1"/>
    <col min="74" max="74" width="6.5" style="191" customWidth="1"/>
    <col min="75" max="75" width="1.5" style="191" customWidth="1"/>
    <col min="76" max="76" width="6.5" style="191" customWidth="1"/>
    <col min="77" max="77" width="1.5" style="191" customWidth="1"/>
    <col min="78" max="78" width="6.5" style="191" customWidth="1"/>
    <col min="79" max="79" width="1.5" style="191" customWidth="1"/>
    <col min="80" max="80" width="6.5" style="191" customWidth="1"/>
    <col min="81" max="81" width="1.5" style="191" customWidth="1"/>
    <col min="82" max="82" width="6.5" style="191" customWidth="1"/>
    <col min="83" max="83" width="1.5" style="191" customWidth="1"/>
    <col min="84" max="84" width="6.5" style="191" customWidth="1"/>
    <col min="85" max="85" width="1.3359375" style="191" customWidth="1"/>
    <col min="86" max="86" width="6.5" style="191" customWidth="1"/>
    <col min="87" max="87" width="1.3359375" style="191" customWidth="1"/>
    <col min="88" max="88" width="6.5" style="191" customWidth="1"/>
    <col min="89" max="89" width="1.3359375" style="191" customWidth="1"/>
    <col min="90" max="90" width="6.5" style="191" customWidth="1"/>
    <col min="91" max="91" width="1.3359375" style="191" customWidth="1"/>
    <col min="92" max="92" width="6.5" style="191" customWidth="1"/>
    <col min="93" max="93" width="1.3359375" style="191" customWidth="1"/>
    <col min="94" max="94" width="6.5" style="191" customWidth="1"/>
    <col min="95" max="95" width="1.3359375" style="191" customWidth="1"/>
    <col min="96" max="96" width="6.5" style="191" customWidth="1"/>
    <col min="97" max="97" width="1.3359375" style="191" customWidth="1"/>
    <col min="98" max="98" width="6.5" style="191" customWidth="1"/>
    <col min="99" max="99" width="1.3359375" style="191" customWidth="1"/>
    <col min="100" max="100" width="6.5" style="191" customWidth="1"/>
    <col min="101" max="101" width="1.3359375" style="191" customWidth="1"/>
    <col min="102" max="102" width="6.5" style="191" customWidth="1"/>
    <col min="103" max="103" width="1.3359375" style="191" customWidth="1"/>
    <col min="104" max="104" width="6.5" style="191" customWidth="1"/>
    <col min="105" max="16384" width="9.33203125" style="193" customWidth="1"/>
  </cols>
  <sheetData>
    <row r="1" spans="1:104" s="431" customFormat="1" ht="15" customHeight="1">
      <c r="A1" s="430"/>
      <c r="B1" s="181">
        <v>0</v>
      </c>
      <c r="C1" s="182" t="s">
        <v>309</v>
      </c>
      <c r="D1" s="182"/>
      <c r="E1" s="327"/>
      <c r="F1" s="327"/>
      <c r="G1" s="327"/>
      <c r="H1" s="328"/>
      <c r="I1" s="329"/>
      <c r="J1" s="330"/>
      <c r="K1" s="329"/>
      <c r="L1" s="330"/>
      <c r="M1" s="329"/>
      <c r="N1" s="330"/>
      <c r="O1" s="329"/>
      <c r="P1" s="330"/>
      <c r="Q1" s="329"/>
      <c r="R1" s="330"/>
      <c r="S1" s="329"/>
      <c r="T1" s="330"/>
      <c r="U1" s="329"/>
      <c r="V1" s="330"/>
      <c r="W1" s="329"/>
      <c r="X1" s="328"/>
      <c r="Y1" s="329"/>
      <c r="Z1" s="328"/>
      <c r="AA1" s="329"/>
      <c r="AB1" s="328"/>
      <c r="AC1" s="329"/>
      <c r="AD1" s="328"/>
      <c r="AE1" s="329"/>
      <c r="AF1" s="328"/>
      <c r="AG1" s="329"/>
      <c r="AH1" s="328"/>
      <c r="AI1" s="329"/>
      <c r="AJ1" s="330"/>
      <c r="AK1" s="329"/>
      <c r="AL1" s="328"/>
      <c r="AM1" s="329"/>
      <c r="AN1" s="328"/>
      <c r="AO1" s="534"/>
      <c r="AP1" s="534"/>
      <c r="AQ1" s="534"/>
      <c r="AR1" s="534"/>
      <c r="AS1" s="534"/>
      <c r="AT1" s="328"/>
      <c r="AU1" s="329"/>
      <c r="AV1" s="534"/>
      <c r="AW1" s="534"/>
      <c r="AX1" s="328"/>
      <c r="AY1" s="329"/>
      <c r="AZ1" s="328"/>
      <c r="BA1" s="329"/>
      <c r="BB1" s="479"/>
      <c r="BC1" s="192" t="s">
        <v>84</v>
      </c>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row>
    <row r="2" spans="5:52" ht="7.5" customHeight="1">
      <c r="E2" s="332"/>
      <c r="F2" s="332"/>
      <c r="G2" s="332"/>
      <c r="H2" s="336"/>
      <c r="AE2" s="341"/>
      <c r="AF2" s="336"/>
      <c r="AG2" s="341"/>
      <c r="AH2" s="336"/>
      <c r="AI2" s="341"/>
      <c r="AJ2" s="419"/>
      <c r="AK2" s="341"/>
      <c r="AL2" s="336"/>
      <c r="AM2" s="341"/>
      <c r="AN2" s="336"/>
      <c r="AT2" s="336"/>
      <c r="AX2" s="336"/>
      <c r="AZ2" s="336"/>
    </row>
    <row r="3" spans="1:106" s="353" customFormat="1" ht="17.25" customHeight="1">
      <c r="A3" s="280"/>
      <c r="B3" s="280">
        <v>894</v>
      </c>
      <c r="C3" s="337" t="s">
        <v>311</v>
      </c>
      <c r="D3" s="30" t="s">
        <v>498</v>
      </c>
      <c r="E3" s="422"/>
      <c r="F3" s="423"/>
      <c r="G3" s="424"/>
      <c r="H3" s="425"/>
      <c r="I3" s="426"/>
      <c r="J3" s="425"/>
      <c r="K3" s="426"/>
      <c r="L3" s="425"/>
      <c r="M3" s="426"/>
      <c r="N3" s="425"/>
      <c r="O3" s="426"/>
      <c r="P3" s="425"/>
      <c r="Q3" s="426"/>
      <c r="R3" s="425"/>
      <c r="S3" s="426"/>
      <c r="T3" s="425"/>
      <c r="U3" s="426"/>
      <c r="V3" s="425"/>
      <c r="W3" s="424"/>
      <c r="X3" s="425"/>
      <c r="Y3" s="424"/>
      <c r="Z3" s="108"/>
      <c r="AA3" s="427"/>
      <c r="AB3" s="55"/>
      <c r="AC3" s="337" t="s">
        <v>303</v>
      </c>
      <c r="AD3" s="339"/>
      <c r="AE3" s="338"/>
      <c r="AF3" s="339"/>
      <c r="AG3" s="340"/>
      <c r="AH3" s="425"/>
      <c r="AI3" s="424"/>
      <c r="AJ3" s="425"/>
      <c r="AK3" s="424"/>
      <c r="AL3" s="425"/>
      <c r="AM3" s="424"/>
      <c r="AN3" s="425"/>
      <c r="AO3" s="428"/>
      <c r="AP3" s="428"/>
      <c r="AQ3" s="428"/>
      <c r="AR3" s="428"/>
      <c r="AS3" s="428"/>
      <c r="AT3" s="429"/>
      <c r="AU3" s="429"/>
      <c r="AV3" s="428"/>
      <c r="AW3" s="428"/>
      <c r="AX3" s="429"/>
      <c r="AY3" s="429"/>
      <c r="AZ3" s="429"/>
      <c r="BA3" s="429"/>
      <c r="BB3" s="429"/>
      <c r="BC3" s="344" t="s">
        <v>51</v>
      </c>
      <c r="BD3" s="433"/>
      <c r="BE3" s="351"/>
      <c r="BF3" s="434"/>
      <c r="BG3" s="434"/>
      <c r="BH3" s="480"/>
      <c r="BI3" s="480"/>
      <c r="BJ3" s="480"/>
      <c r="BK3" s="480"/>
      <c r="BL3" s="435"/>
      <c r="BM3" s="435"/>
      <c r="BN3" s="435"/>
      <c r="BO3" s="435"/>
      <c r="BP3" s="480"/>
      <c r="BQ3" s="480"/>
      <c r="BR3" s="435"/>
      <c r="BS3" s="435"/>
      <c r="BT3" s="435"/>
      <c r="BU3" s="435"/>
      <c r="BV3" s="435"/>
      <c r="BW3" s="435"/>
      <c r="BX3" s="436"/>
      <c r="BY3" s="436"/>
      <c r="BZ3" s="351"/>
      <c r="CA3" s="351"/>
      <c r="CB3" s="351"/>
      <c r="CC3" s="351"/>
      <c r="CD3" s="351"/>
      <c r="CE3" s="351"/>
      <c r="CF3" s="436"/>
      <c r="CG3" s="436"/>
      <c r="CH3" s="351"/>
      <c r="CI3" s="351"/>
      <c r="CJ3" s="351"/>
      <c r="CK3" s="351"/>
      <c r="CL3" s="351"/>
      <c r="CM3" s="351"/>
      <c r="CN3" s="351"/>
      <c r="CO3" s="351"/>
      <c r="CP3" s="351"/>
      <c r="CQ3" s="351"/>
      <c r="CR3" s="351"/>
      <c r="CS3" s="351"/>
      <c r="CT3" s="351"/>
      <c r="CU3" s="351"/>
      <c r="CV3" s="351"/>
      <c r="CW3" s="351"/>
      <c r="CX3" s="351"/>
      <c r="CY3" s="351"/>
      <c r="CZ3" s="351"/>
      <c r="DA3" s="352"/>
      <c r="DB3" s="352"/>
    </row>
    <row r="4" spans="3:55" ht="3.75" customHeight="1">
      <c r="C4" s="481"/>
      <c r="D4" s="481"/>
      <c r="E4" s="391"/>
      <c r="F4" s="391"/>
      <c r="G4" s="391"/>
      <c r="H4" s="336"/>
      <c r="I4" s="341"/>
      <c r="J4" s="419"/>
      <c r="K4" s="341"/>
      <c r="L4" s="419"/>
      <c r="M4" s="341"/>
      <c r="N4" s="419"/>
      <c r="O4" s="341"/>
      <c r="P4" s="419"/>
      <c r="Q4" s="341"/>
      <c r="R4" s="419"/>
      <c r="S4" s="341"/>
      <c r="T4" s="419"/>
      <c r="U4" s="341"/>
      <c r="V4" s="419"/>
      <c r="W4" s="341"/>
      <c r="X4" s="336"/>
      <c r="Y4" s="341"/>
      <c r="Z4" s="336"/>
      <c r="AA4" s="341"/>
      <c r="AB4" s="336"/>
      <c r="AC4" s="341"/>
      <c r="AD4" s="336"/>
      <c r="AE4" s="341"/>
      <c r="AF4" s="336"/>
      <c r="AG4" s="341"/>
      <c r="AH4" s="336"/>
      <c r="AI4" s="341"/>
      <c r="AJ4" s="419"/>
      <c r="AK4" s="341"/>
      <c r="AL4" s="336"/>
      <c r="AM4" s="341"/>
      <c r="AN4" s="482"/>
      <c r="AT4" s="336"/>
      <c r="AX4" s="336"/>
      <c r="AZ4" s="336"/>
      <c r="BC4" s="318"/>
    </row>
    <row r="5" spans="1:104" s="431" customFormat="1" ht="17.25" customHeight="1">
      <c r="A5" s="430"/>
      <c r="B5" s="181">
        <v>9</v>
      </c>
      <c r="C5" s="764" t="s">
        <v>129</v>
      </c>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4"/>
      <c r="AH5" s="764"/>
      <c r="AI5" s="764"/>
      <c r="AJ5" s="764"/>
      <c r="AK5" s="764"/>
      <c r="AL5" s="764"/>
      <c r="AM5" s="764"/>
      <c r="AN5" s="764"/>
      <c r="AO5" s="305"/>
      <c r="AP5" s="305"/>
      <c r="AQ5" s="305"/>
      <c r="AR5" s="305"/>
      <c r="AS5" s="305"/>
      <c r="AT5" s="356"/>
      <c r="AU5" s="355"/>
      <c r="AV5" s="305"/>
      <c r="AW5" s="305"/>
      <c r="AX5" s="356"/>
      <c r="AY5" s="355"/>
      <c r="AZ5" s="356"/>
      <c r="BA5" s="355"/>
      <c r="BB5" s="437"/>
      <c r="BC5" s="357" t="s">
        <v>52</v>
      </c>
      <c r="BD5" s="215"/>
      <c r="BE5" s="215"/>
      <c r="BF5" s="215"/>
      <c r="BG5" s="215"/>
      <c r="BH5" s="215"/>
      <c r="BI5" s="215"/>
      <c r="BJ5" s="215"/>
      <c r="BK5" s="215"/>
      <c r="BL5" s="215"/>
      <c r="BM5" s="215"/>
      <c r="BN5" s="215"/>
      <c r="BO5" s="215"/>
      <c r="BP5" s="215"/>
      <c r="BQ5" s="215"/>
      <c r="BR5" s="215"/>
      <c r="BS5" s="215"/>
      <c r="BT5" s="215"/>
      <c r="BU5" s="215"/>
      <c r="BV5" s="215"/>
      <c r="BW5" s="215"/>
      <c r="BX5" s="215"/>
      <c r="BY5" s="215"/>
      <c r="BZ5" s="215"/>
      <c r="CA5" s="215"/>
      <c r="CB5" s="215"/>
      <c r="CC5" s="215"/>
      <c r="CD5" s="215"/>
      <c r="CE5" s="215"/>
      <c r="CF5" s="215"/>
      <c r="CG5" s="215"/>
      <c r="CH5" s="215"/>
      <c r="CI5" s="215"/>
      <c r="CJ5" s="215"/>
      <c r="CK5" s="215"/>
      <c r="CL5" s="215"/>
      <c r="CM5" s="215"/>
      <c r="CN5" s="215"/>
      <c r="CO5" s="215"/>
      <c r="CP5" s="215"/>
      <c r="CQ5" s="215"/>
      <c r="CR5" s="215"/>
      <c r="CS5" s="215"/>
      <c r="CT5" s="215"/>
      <c r="CU5" s="215"/>
      <c r="CV5" s="215"/>
      <c r="CW5" s="215"/>
      <c r="CX5" s="215"/>
      <c r="CY5" s="215"/>
      <c r="CZ5" s="215"/>
    </row>
    <row r="6" spans="1:104" s="439" customFormat="1" ht="14.25" customHeight="1">
      <c r="A6" s="438"/>
      <c r="B6" s="181"/>
      <c r="C6" s="431"/>
      <c r="D6" s="431"/>
      <c r="E6" s="220"/>
      <c r="F6" s="679" t="s">
        <v>508</v>
      </c>
      <c r="G6" s="221"/>
      <c r="H6" s="222"/>
      <c r="I6" s="223"/>
      <c r="J6" s="222"/>
      <c r="K6" s="223"/>
      <c r="L6" s="222"/>
      <c r="M6" s="223"/>
      <c r="N6" s="222"/>
      <c r="O6" s="223"/>
      <c r="P6" s="222"/>
      <c r="Q6" s="223"/>
      <c r="R6" s="222"/>
      <c r="S6" s="223"/>
      <c r="T6" s="222"/>
      <c r="U6" s="223"/>
      <c r="V6" s="222"/>
      <c r="W6" s="221"/>
      <c r="Z6" s="597"/>
      <c r="AA6" s="358"/>
      <c r="AB6" s="359"/>
      <c r="AC6" s="360"/>
      <c r="AD6" s="359"/>
      <c r="AE6" s="360"/>
      <c r="AF6" s="359"/>
      <c r="AG6" s="361"/>
      <c r="AH6" s="359"/>
      <c r="AJ6" s="359"/>
      <c r="AK6" s="360"/>
      <c r="AL6" s="359"/>
      <c r="AM6" s="221"/>
      <c r="AN6" s="359"/>
      <c r="AO6" s="362"/>
      <c r="AP6" s="362"/>
      <c r="AQ6" s="362"/>
      <c r="AR6" s="362"/>
      <c r="AS6" s="362"/>
      <c r="AT6" s="319"/>
      <c r="AV6" s="362"/>
      <c r="AW6" s="362"/>
      <c r="AX6" s="319"/>
      <c r="AY6" s="363"/>
      <c r="AZ6" s="319"/>
      <c r="BA6" s="363"/>
      <c r="BB6" s="319"/>
      <c r="BC6" s="364" t="s">
        <v>46</v>
      </c>
      <c r="BD6" s="215"/>
      <c r="BE6" s="215"/>
      <c r="BF6" s="215"/>
      <c r="BG6" s="215"/>
      <c r="BH6" s="215"/>
      <c r="BI6" s="215"/>
      <c r="BJ6" s="215"/>
      <c r="BK6" s="215"/>
      <c r="BL6" s="215"/>
      <c r="BM6" s="215"/>
      <c r="BN6" s="215"/>
      <c r="BO6" s="215"/>
      <c r="BP6" s="215"/>
      <c r="BQ6" s="215"/>
      <c r="BR6" s="215"/>
      <c r="BS6" s="215"/>
      <c r="BT6" s="215"/>
      <c r="BU6" s="215"/>
      <c r="BV6" s="215"/>
      <c r="BW6" s="215"/>
      <c r="BX6" s="215"/>
      <c r="BY6" s="215"/>
      <c r="BZ6" s="215"/>
      <c r="CA6" s="215"/>
      <c r="CB6" s="215"/>
      <c r="CC6" s="215"/>
      <c r="CD6" s="215"/>
      <c r="CE6" s="215"/>
      <c r="CF6" s="215"/>
      <c r="CG6" s="215"/>
      <c r="CH6" s="215"/>
      <c r="CI6" s="215"/>
      <c r="CJ6" s="215"/>
      <c r="CK6" s="215"/>
      <c r="CL6" s="215"/>
      <c r="CM6" s="215"/>
      <c r="CN6" s="215"/>
      <c r="CO6" s="215"/>
      <c r="CP6" s="215"/>
      <c r="CQ6" s="215"/>
      <c r="CR6" s="215"/>
      <c r="CS6" s="215"/>
      <c r="CT6" s="215"/>
      <c r="CU6" s="215"/>
      <c r="CV6" s="215"/>
      <c r="CW6" s="215"/>
      <c r="CX6" s="215"/>
      <c r="CY6" s="215"/>
      <c r="CZ6" s="215"/>
    </row>
    <row r="7" spans="2:104" ht="22.5" customHeight="1">
      <c r="B7" s="181">
        <v>2</v>
      </c>
      <c r="C7" s="233" t="s">
        <v>301</v>
      </c>
      <c r="D7" s="233" t="s">
        <v>302</v>
      </c>
      <c r="E7" s="233" t="s">
        <v>305</v>
      </c>
      <c r="F7" s="233">
        <v>1990</v>
      </c>
      <c r="G7" s="234"/>
      <c r="H7" s="233">
        <v>1995</v>
      </c>
      <c r="I7" s="234"/>
      <c r="J7" s="233">
        <v>1996</v>
      </c>
      <c r="K7" s="234"/>
      <c r="L7" s="233">
        <v>1997</v>
      </c>
      <c r="M7" s="234"/>
      <c r="N7" s="233">
        <v>1998</v>
      </c>
      <c r="O7" s="234"/>
      <c r="P7" s="233">
        <v>1999</v>
      </c>
      <c r="Q7" s="234"/>
      <c r="R7" s="233">
        <v>2000</v>
      </c>
      <c r="S7" s="234"/>
      <c r="T7" s="233">
        <v>2001</v>
      </c>
      <c r="U7" s="234"/>
      <c r="V7" s="233">
        <v>2002</v>
      </c>
      <c r="W7" s="234"/>
      <c r="X7" s="233">
        <v>2003</v>
      </c>
      <c r="Y7" s="234"/>
      <c r="Z7" s="233">
        <v>2004</v>
      </c>
      <c r="AA7" s="234"/>
      <c r="AB7" s="233">
        <v>2005</v>
      </c>
      <c r="AC7" s="234"/>
      <c r="AD7" s="233">
        <v>2006</v>
      </c>
      <c r="AE7" s="234"/>
      <c r="AF7" s="233">
        <v>2007</v>
      </c>
      <c r="AG7" s="234"/>
      <c r="AH7" s="233">
        <v>2008</v>
      </c>
      <c r="AI7" s="234"/>
      <c r="AJ7" s="233">
        <v>2009</v>
      </c>
      <c r="AK7" s="234"/>
      <c r="AL7" s="233">
        <v>2010</v>
      </c>
      <c r="AM7" s="234"/>
      <c r="AN7" s="233">
        <v>2011</v>
      </c>
      <c r="AO7" s="234"/>
      <c r="AP7" s="233">
        <v>2012</v>
      </c>
      <c r="AQ7" s="234"/>
      <c r="AR7" s="233">
        <v>2013</v>
      </c>
      <c r="AS7" s="234"/>
      <c r="AT7" s="233">
        <v>2014</v>
      </c>
      <c r="AU7" s="234"/>
      <c r="AV7" s="233">
        <v>2015</v>
      </c>
      <c r="AW7" s="234"/>
      <c r="AX7" s="233">
        <v>2016</v>
      </c>
      <c r="AY7" s="234"/>
      <c r="AZ7" s="233">
        <v>2017</v>
      </c>
      <c r="BA7" s="234"/>
      <c r="BC7" s="233" t="s">
        <v>301</v>
      </c>
      <c r="BD7" s="233" t="s">
        <v>302</v>
      </c>
      <c r="BE7" s="233" t="s">
        <v>305</v>
      </c>
      <c r="BF7" s="233">
        <v>1990</v>
      </c>
      <c r="BG7" s="233"/>
      <c r="BH7" s="233">
        <v>1995</v>
      </c>
      <c r="BI7" s="233"/>
      <c r="BJ7" s="233">
        <v>1996</v>
      </c>
      <c r="BK7" s="233"/>
      <c r="BL7" s="233">
        <v>1997</v>
      </c>
      <c r="BM7" s="233"/>
      <c r="BN7" s="233">
        <v>1998</v>
      </c>
      <c r="BO7" s="233"/>
      <c r="BP7" s="233">
        <v>1999</v>
      </c>
      <c r="BQ7" s="233"/>
      <c r="BR7" s="233">
        <v>2000</v>
      </c>
      <c r="BS7" s="233"/>
      <c r="BT7" s="233">
        <v>2001</v>
      </c>
      <c r="BU7" s="233"/>
      <c r="BV7" s="233">
        <v>2002</v>
      </c>
      <c r="BW7" s="233"/>
      <c r="BX7" s="233">
        <v>2003</v>
      </c>
      <c r="BY7" s="233"/>
      <c r="BZ7" s="233">
        <v>2004</v>
      </c>
      <c r="CA7" s="233"/>
      <c r="CB7" s="233">
        <v>2005</v>
      </c>
      <c r="CC7" s="233"/>
      <c r="CD7" s="233">
        <v>2006</v>
      </c>
      <c r="CE7" s="233"/>
      <c r="CF7" s="233">
        <v>2007</v>
      </c>
      <c r="CG7" s="233"/>
      <c r="CH7" s="233">
        <v>2008</v>
      </c>
      <c r="CI7" s="233"/>
      <c r="CJ7" s="233">
        <v>2009</v>
      </c>
      <c r="CK7" s="233"/>
      <c r="CL7" s="233">
        <v>2010</v>
      </c>
      <c r="CM7" s="233"/>
      <c r="CN7" s="233">
        <v>2011</v>
      </c>
      <c r="CO7" s="233"/>
      <c r="CP7" s="233">
        <v>2012</v>
      </c>
      <c r="CQ7" s="233"/>
      <c r="CR7" s="233">
        <v>2013</v>
      </c>
      <c r="CS7" s="233"/>
      <c r="CT7" s="233">
        <v>2014</v>
      </c>
      <c r="CU7" s="233"/>
      <c r="CV7" s="233">
        <v>2015</v>
      </c>
      <c r="CW7" s="233"/>
      <c r="CX7" s="233">
        <v>2016</v>
      </c>
      <c r="CY7" s="233"/>
      <c r="CZ7" s="233">
        <v>2017</v>
      </c>
    </row>
    <row r="8" spans="1:104" s="454" customFormat="1" ht="36" customHeight="1">
      <c r="A8" s="383" t="s">
        <v>67</v>
      </c>
      <c r="B8" s="237">
        <v>163</v>
      </c>
      <c r="C8" s="445">
        <v>1</v>
      </c>
      <c r="D8" s="535" t="s">
        <v>9</v>
      </c>
      <c r="E8" s="240" t="s">
        <v>276</v>
      </c>
      <c r="F8" s="576"/>
      <c r="G8" s="588"/>
      <c r="H8" s="576"/>
      <c r="I8" s="588"/>
      <c r="J8" s="576"/>
      <c r="K8" s="588"/>
      <c r="L8" s="576"/>
      <c r="M8" s="588"/>
      <c r="N8" s="576"/>
      <c r="O8" s="588"/>
      <c r="P8" s="576"/>
      <c r="Q8" s="588"/>
      <c r="R8" s="576"/>
      <c r="S8" s="588"/>
      <c r="T8" s="576"/>
      <c r="U8" s="588"/>
      <c r="V8" s="576"/>
      <c r="W8" s="588"/>
      <c r="X8" s="576"/>
      <c r="Y8" s="588"/>
      <c r="Z8" s="576"/>
      <c r="AA8" s="588"/>
      <c r="AB8" s="576"/>
      <c r="AC8" s="588"/>
      <c r="AD8" s="576"/>
      <c r="AE8" s="588"/>
      <c r="AF8" s="576"/>
      <c r="AG8" s="588"/>
      <c r="AH8" s="576"/>
      <c r="AI8" s="588"/>
      <c r="AJ8" s="576"/>
      <c r="AK8" s="588"/>
      <c r="AL8" s="576"/>
      <c r="AM8" s="588"/>
      <c r="AN8" s="576"/>
      <c r="AO8" s="588"/>
      <c r="AP8" s="576"/>
      <c r="AQ8" s="588"/>
      <c r="AR8" s="576"/>
      <c r="AS8" s="588"/>
      <c r="AT8" s="576"/>
      <c r="AU8" s="588"/>
      <c r="AV8" s="576"/>
      <c r="AW8" s="588"/>
      <c r="AX8" s="576"/>
      <c r="AY8" s="588"/>
      <c r="AZ8" s="576"/>
      <c r="BA8" s="588"/>
      <c r="BC8" s="394">
        <v>1</v>
      </c>
      <c r="BD8" s="536" t="s">
        <v>9</v>
      </c>
      <c r="BE8" s="97" t="s">
        <v>276</v>
      </c>
      <c r="BF8" s="97" t="s">
        <v>85</v>
      </c>
      <c r="BG8" s="606"/>
      <c r="BH8" s="80" t="str">
        <f>IF(OR(ISBLANK(F8),ISBLANK(H8)),"N/A",IF(ABS(H8-F8)&gt;100,"&gt; 100%","ok"))</f>
        <v>N/A</v>
      </c>
      <c r="BI8" s="606"/>
      <c r="BJ8" s="80" t="str">
        <f>IF(OR(ISBLANK(H8),ISBLANK(J8)),"N/A",IF(ABS(J8-H8)&gt;25,"&gt; 25%","ok"))</f>
        <v>N/A</v>
      </c>
      <c r="BK8" s="80"/>
      <c r="BL8" s="80" t="str">
        <f>IF(OR(ISBLANK(J8),ISBLANK(L8)),"N/A",IF(ABS(L8-J8)&gt;25,"&gt; 25%","ok"))</f>
        <v>N/A</v>
      </c>
      <c r="BM8" s="80"/>
      <c r="BN8" s="80" t="str">
        <f>IF(OR(ISBLANK(L8),ISBLANK(N8)),"N/A",IF(ABS(N8-L8)&gt;25,"&gt; 25%","ok"))</f>
        <v>N/A</v>
      </c>
      <c r="BO8" s="80"/>
      <c r="BP8" s="80" t="str">
        <f>IF(OR(ISBLANK(N8),ISBLANK(P8)),"N/A",IF(ABS(P8-N8)&gt;25,"&gt; 25%","ok"))</f>
        <v>N/A</v>
      </c>
      <c r="BQ8" s="80"/>
      <c r="BR8" s="80" t="str">
        <f>IF(OR(ISBLANK(P8),ISBLANK(R8)),"N/A",IF(ABS(R8-P8)&gt;25,"&gt; 25%","ok"))</f>
        <v>N/A</v>
      </c>
      <c r="BS8" s="80"/>
      <c r="BT8" s="80" t="str">
        <f>IF(OR(ISBLANK(R8),ISBLANK(T8)),"N/A",IF(ABS(T8-R8)&gt;25,"&gt; 25%","ok"))</f>
        <v>N/A</v>
      </c>
      <c r="BU8" s="80"/>
      <c r="BV8" s="80" t="str">
        <f>IF(OR(ISBLANK(T8),ISBLANK(V8)),"N/A",IF(ABS(V8-T8)&gt;25,"&gt; 25%","ok"))</f>
        <v>N/A</v>
      </c>
      <c r="BW8" s="80"/>
      <c r="BX8" s="80" t="str">
        <f>IF(OR(ISBLANK(V8),ISBLANK(X8)),"N/A",IF(ABS(X8-V8)&gt;25,"&gt; 25%","ok"))</f>
        <v>N/A</v>
      </c>
      <c r="BY8" s="80"/>
      <c r="BZ8" s="80" t="str">
        <f>IF(OR(ISBLANK(X8),ISBLANK(Z8)),"N/A",IF(ABS(Z8-X8)&gt;25,"&gt; 25%","ok"))</f>
        <v>N/A</v>
      </c>
      <c r="CA8" s="80"/>
      <c r="CB8" s="80" t="str">
        <f>IF(OR(ISBLANK(Z8),ISBLANK(AB8)),"N/A",IF(ABS(AB8-Z8)&gt;25,"&gt; 25%","ok"))</f>
        <v>N/A</v>
      </c>
      <c r="CC8" s="80"/>
      <c r="CD8" s="80" t="str">
        <f>IF(OR(ISBLANK(AB8),ISBLANK(AD8)),"N/A",IF(ABS(AD8-AB8)&gt;25,"&gt; 25%","ok"))</f>
        <v>N/A</v>
      </c>
      <c r="CE8" s="80"/>
      <c r="CF8" s="80" t="str">
        <f>IF(OR(ISBLANK(AD8),ISBLANK(AF8)),"N/A",IF(ABS(AF8-AD8)&gt;25,"&gt; 25%","ok"))</f>
        <v>N/A</v>
      </c>
      <c r="CG8" s="80"/>
      <c r="CH8" s="80" t="str">
        <f>IF(OR(ISBLANK(AF8),ISBLANK(AH8)),"N/A",IF(ABS(AH8-AF8)&gt;25,"&gt; 25%","ok"))</f>
        <v>N/A</v>
      </c>
      <c r="CI8" s="80"/>
      <c r="CJ8" s="80" t="str">
        <f>IF(OR(ISBLANK(AH8),ISBLANK(AJ8)),"N/A",IF(ABS(AJ8-AH8)&gt;25,"&gt; 25%","ok"))</f>
        <v>N/A</v>
      </c>
      <c r="CK8" s="80"/>
      <c r="CL8" s="80" t="str">
        <f>IF(OR(ISBLANK(AJ8),ISBLANK(AL8)),"N/A",IF(ABS(AL8-AJ8)&gt;25,"&gt; 25%","ok"))</f>
        <v>N/A</v>
      </c>
      <c r="CM8" s="80"/>
      <c r="CN8" s="80" t="str">
        <f>IF(OR(ISBLANK(AL8),ISBLANK(AN8)),"N/A",IF(ABS(AN8-AL8)&gt;25,"&gt; 25%","ok"))</f>
        <v>N/A</v>
      </c>
      <c r="CO8" s="80"/>
      <c r="CP8" s="80" t="str">
        <f>IF(OR(ISBLANK(AN8),ISBLANK(AP8)),"N/A",IF(ABS(AP8-AN8)&gt;25,"&gt; 25%","ok"))</f>
        <v>N/A</v>
      </c>
      <c r="CQ8" s="80"/>
      <c r="CR8" s="80" t="str">
        <f>IF(OR(ISBLANK(AP8),ISBLANK(AR8)),"N/A",IF(ABS(AR8-AP8)&gt;25,"&gt; 25%","ok"))</f>
        <v>N/A</v>
      </c>
      <c r="CS8" s="80"/>
      <c r="CT8" s="80" t="str">
        <f>IF(OR(ISBLANK(AR8),ISBLANK(AT8)),"N/A",IF(ABS(AT8-AR8)&gt;25,"&gt; 25%","ok"))</f>
        <v>N/A</v>
      </c>
      <c r="CU8" s="80"/>
      <c r="CV8" s="80" t="str">
        <f>IF(OR(ISBLANK(AT8),ISBLANK(AV8)),"N/A",IF(ABS(AV8-AT8)&gt;25,"&gt; 25%","ok"))</f>
        <v>N/A</v>
      </c>
      <c r="CW8" s="80"/>
      <c r="CX8" s="80" t="str">
        <f>IF(OR(ISBLANK(AV8),ISBLANK(AX8)),"N/A",IF(ABS(AX8-AV8)&gt;25,"&gt; 25%","ok"))</f>
        <v>N/A</v>
      </c>
      <c r="CY8" s="80"/>
      <c r="CZ8" s="80" t="str">
        <f>IF(OR(ISBLANK(AX8),ISBLANK(AZ8)),"N/A",IF(ABS(AZ8-AX8)&gt;25,"&gt; 25%","ok"))</f>
        <v>N/A</v>
      </c>
    </row>
    <row r="9" spans="1:104" ht="36" customHeight="1">
      <c r="A9" s="180" t="s">
        <v>67</v>
      </c>
      <c r="B9" s="237">
        <v>164</v>
      </c>
      <c r="C9" s="372">
        <v>2</v>
      </c>
      <c r="D9" s="537" t="s">
        <v>10</v>
      </c>
      <c r="E9" s="240" t="s">
        <v>276</v>
      </c>
      <c r="F9" s="576"/>
      <c r="G9" s="588"/>
      <c r="H9" s="576"/>
      <c r="I9" s="588"/>
      <c r="J9" s="576"/>
      <c r="K9" s="588"/>
      <c r="L9" s="576"/>
      <c r="M9" s="588"/>
      <c r="N9" s="576"/>
      <c r="O9" s="588"/>
      <c r="P9" s="576"/>
      <c r="Q9" s="588"/>
      <c r="R9" s="576"/>
      <c r="S9" s="588"/>
      <c r="T9" s="576"/>
      <c r="U9" s="588"/>
      <c r="V9" s="576"/>
      <c r="W9" s="588"/>
      <c r="X9" s="576"/>
      <c r="Y9" s="588"/>
      <c r="Z9" s="576"/>
      <c r="AA9" s="588"/>
      <c r="AB9" s="576"/>
      <c r="AC9" s="588"/>
      <c r="AD9" s="576"/>
      <c r="AE9" s="588"/>
      <c r="AF9" s="576"/>
      <c r="AG9" s="588"/>
      <c r="AH9" s="576"/>
      <c r="AI9" s="588"/>
      <c r="AJ9" s="576"/>
      <c r="AK9" s="588"/>
      <c r="AL9" s="576"/>
      <c r="AM9" s="588"/>
      <c r="AN9" s="576"/>
      <c r="AO9" s="588"/>
      <c r="AP9" s="576"/>
      <c r="AQ9" s="588"/>
      <c r="AR9" s="576"/>
      <c r="AS9" s="588"/>
      <c r="AT9" s="576"/>
      <c r="AU9" s="588"/>
      <c r="AV9" s="576"/>
      <c r="AW9" s="588"/>
      <c r="AX9" s="576"/>
      <c r="AY9" s="588"/>
      <c r="AZ9" s="576"/>
      <c r="BA9" s="588"/>
      <c r="BC9" s="376">
        <v>2</v>
      </c>
      <c r="BD9" s="538" t="s">
        <v>10</v>
      </c>
      <c r="BE9" s="97" t="s">
        <v>276</v>
      </c>
      <c r="BF9" s="97" t="s">
        <v>85</v>
      </c>
      <c r="BG9" s="606"/>
      <c r="BH9" s="80" t="str">
        <f>IF(OR(ISBLANK(F9),ISBLANK(H9)),"N/A",IF(ABS(H9-F9)&gt;100,"&gt; 100%","ok"))</f>
        <v>N/A</v>
      </c>
      <c r="BI9" s="606"/>
      <c r="BJ9" s="80" t="str">
        <f>IF(OR(ISBLANK(H9),ISBLANK(J9)),"N/A",IF(ABS(J9-H9)&gt;25,"&gt; 25%","ok"))</f>
        <v>N/A</v>
      </c>
      <c r="BK9" s="80"/>
      <c r="BL9" s="80" t="str">
        <f>IF(OR(ISBLANK(J9),ISBLANK(L9)),"N/A",IF(ABS(L9-J9)&gt;25,"&gt; 25%","ok"))</f>
        <v>N/A</v>
      </c>
      <c r="BM9" s="80"/>
      <c r="BN9" s="80" t="str">
        <f>IF(OR(ISBLANK(L9),ISBLANK(N9)),"N/A",IF(ABS(N9-L9)&gt;25,"&gt; 25%","ok"))</f>
        <v>N/A</v>
      </c>
      <c r="BO9" s="80"/>
      <c r="BP9" s="80" t="str">
        <f>IF(OR(ISBLANK(N9),ISBLANK(P9)),"N/A",IF(ABS(P9-N9)&gt;25,"&gt; 25%","ok"))</f>
        <v>N/A</v>
      </c>
      <c r="BQ9" s="80"/>
      <c r="BR9" s="80" t="str">
        <f>IF(OR(ISBLANK(P9),ISBLANK(R9)),"N/A",IF(ABS(R9-P9)&gt;25,"&gt; 25%","ok"))</f>
        <v>N/A</v>
      </c>
      <c r="BS9" s="80"/>
      <c r="BT9" s="80" t="str">
        <f>IF(OR(ISBLANK(R9),ISBLANK(T9)),"N/A",IF(ABS(T9-R9)&gt;25,"&gt; 25%","ok"))</f>
        <v>N/A</v>
      </c>
      <c r="BU9" s="80"/>
      <c r="BV9" s="80" t="str">
        <f>IF(OR(ISBLANK(T9),ISBLANK(V9)),"N/A",IF(ABS(V9-T9)&gt;25,"&gt; 25%","ok"))</f>
        <v>N/A</v>
      </c>
      <c r="BW9" s="80"/>
      <c r="BX9" s="80" t="str">
        <f>IF(OR(ISBLANK(V9),ISBLANK(X9)),"N/A",IF(ABS(X9-V9)&gt;25,"&gt; 25%","ok"))</f>
        <v>N/A</v>
      </c>
      <c r="BY9" s="80"/>
      <c r="BZ9" s="80" t="str">
        <f>IF(OR(ISBLANK(X9),ISBLANK(Z9)),"N/A",IF(ABS(Z9-X9)&gt;25,"&gt; 25%","ok"))</f>
        <v>N/A</v>
      </c>
      <c r="CA9" s="80"/>
      <c r="CB9" s="80" t="str">
        <f>IF(OR(ISBLANK(Z9),ISBLANK(AB9)),"N/A",IF(ABS(AB9-Z9)&gt;25,"&gt; 25%","ok"))</f>
        <v>N/A</v>
      </c>
      <c r="CC9" s="80"/>
      <c r="CD9" s="80" t="str">
        <f>IF(OR(ISBLANK(AB9),ISBLANK(AD9)),"N/A",IF(ABS(AD9-AB9)&gt;25,"&gt; 25%","ok"))</f>
        <v>N/A</v>
      </c>
      <c r="CE9" s="80"/>
      <c r="CF9" s="80" t="str">
        <f>IF(OR(ISBLANK(AD9),ISBLANK(AF9)),"N/A",IF(ABS(AF9-AD9)&gt;25,"&gt; 25%","ok"))</f>
        <v>N/A</v>
      </c>
      <c r="CG9" s="80"/>
      <c r="CH9" s="80" t="str">
        <f>IF(OR(ISBLANK(AF9),ISBLANK(AH9)),"N/A",IF(ABS(AH9-AF9)&gt;25,"&gt; 25%","ok"))</f>
        <v>N/A</v>
      </c>
      <c r="CI9" s="80"/>
      <c r="CJ9" s="80" t="str">
        <f>IF(OR(ISBLANK(AH9),ISBLANK(AJ9)),"N/A",IF(ABS(AJ9-AH9)&gt;25,"&gt; 25%","ok"))</f>
        <v>N/A</v>
      </c>
      <c r="CK9" s="80"/>
      <c r="CL9" s="80" t="str">
        <f>IF(OR(ISBLANK(AJ9),ISBLANK(AL9)),"N/A",IF(ABS(AL9-AJ9)&gt;25,"&gt; 25%","ok"))</f>
        <v>N/A</v>
      </c>
      <c r="CM9" s="80"/>
      <c r="CN9" s="80" t="str">
        <f>IF(OR(ISBLANK(AL9),ISBLANK(AN9)),"N/A",IF(ABS(AN9-AL9)&gt;25,"&gt; 25%","ok"))</f>
        <v>N/A</v>
      </c>
      <c r="CO9" s="80"/>
      <c r="CP9" s="80" t="str">
        <f>IF(OR(ISBLANK(AN9),ISBLANK(AP9)),"N/A",IF(ABS(AP9-AN9)&gt;25,"&gt; 25%","ok"))</f>
        <v>N/A</v>
      </c>
      <c r="CQ9" s="80"/>
      <c r="CR9" s="80" t="str">
        <f>IF(OR(ISBLANK(AP9),ISBLANK(AR9)),"N/A",IF(ABS(AR9-AP9)&gt;25,"&gt; 25%","ok"))</f>
        <v>N/A</v>
      </c>
      <c r="CS9" s="80"/>
      <c r="CT9" s="80" t="str">
        <f>IF(OR(ISBLANK(AR9),ISBLANK(AT9)),"N/A",IF(ABS(AT9-AR9)&gt;25,"&gt; 25%","ok"))</f>
        <v>N/A</v>
      </c>
      <c r="CU9" s="80"/>
      <c r="CV9" s="80" t="str">
        <f>IF(OR(ISBLANK(AT9),ISBLANK(AV9)),"N/A",IF(ABS(AV9-AT9)&gt;25,"&gt; 25%","ok"))</f>
        <v>N/A</v>
      </c>
      <c r="CW9" s="80"/>
      <c r="CX9" s="80" t="str">
        <f>IF(OR(ISBLANK(AV9),ISBLANK(AX9)),"N/A",IF(ABS(AX9-AV9)&gt;25,"&gt; 25%","ok"))</f>
        <v>N/A</v>
      </c>
      <c r="CY9" s="80"/>
      <c r="CZ9" s="80" t="str">
        <f>IF(OR(ISBLANK(AX9),ISBLANK(AZ9)),"N/A",IF(ABS(AZ9-AX9)&gt;25,"&gt; 25%","ok"))</f>
        <v>N/A</v>
      </c>
    </row>
    <row r="10" spans="2:104" ht="36" customHeight="1">
      <c r="B10" s="237">
        <v>296</v>
      </c>
      <c r="C10" s="240">
        <v>3</v>
      </c>
      <c r="D10" s="539" t="s">
        <v>512</v>
      </c>
      <c r="E10" s="240" t="s">
        <v>276</v>
      </c>
      <c r="F10" s="574"/>
      <c r="G10" s="585"/>
      <c r="H10" s="574"/>
      <c r="I10" s="585"/>
      <c r="J10" s="574"/>
      <c r="K10" s="585"/>
      <c r="L10" s="574"/>
      <c r="M10" s="585"/>
      <c r="N10" s="574"/>
      <c r="O10" s="585"/>
      <c r="P10" s="574"/>
      <c r="Q10" s="585"/>
      <c r="R10" s="574"/>
      <c r="S10" s="585"/>
      <c r="T10" s="574"/>
      <c r="U10" s="585"/>
      <c r="V10" s="574"/>
      <c r="W10" s="585"/>
      <c r="X10" s="574"/>
      <c r="Y10" s="585"/>
      <c r="Z10" s="574"/>
      <c r="AA10" s="585"/>
      <c r="AB10" s="574"/>
      <c r="AC10" s="585"/>
      <c r="AD10" s="574"/>
      <c r="AE10" s="585"/>
      <c r="AF10" s="574"/>
      <c r="AG10" s="585"/>
      <c r="AH10" s="574"/>
      <c r="AI10" s="585"/>
      <c r="AJ10" s="574"/>
      <c r="AK10" s="585"/>
      <c r="AL10" s="574"/>
      <c r="AM10" s="585"/>
      <c r="AN10" s="574"/>
      <c r="AO10" s="585"/>
      <c r="AP10" s="574"/>
      <c r="AQ10" s="585"/>
      <c r="AR10" s="574"/>
      <c r="AS10" s="585"/>
      <c r="AT10" s="574"/>
      <c r="AU10" s="585"/>
      <c r="AV10" s="574"/>
      <c r="AW10" s="585"/>
      <c r="AX10" s="574"/>
      <c r="AY10" s="585"/>
      <c r="AZ10" s="574"/>
      <c r="BA10" s="585"/>
      <c r="BC10" s="97">
        <v>3</v>
      </c>
      <c r="BD10" s="540" t="s">
        <v>512</v>
      </c>
      <c r="BE10" s="97" t="s">
        <v>276</v>
      </c>
      <c r="BF10" s="82" t="s">
        <v>85</v>
      </c>
      <c r="BG10" s="607"/>
      <c r="BH10" s="80" t="str">
        <f>IF(OR(ISBLANK(F10),ISBLANK(H10)),"N/A",IF(ABS(H10-F10)&gt;100,"&gt; 100%","ok"))</f>
        <v>N/A</v>
      </c>
      <c r="BI10" s="607"/>
      <c r="BJ10" s="80" t="str">
        <f>IF(OR(ISBLANK(H10),ISBLANK(J10)),"N/A",IF(ABS(J10-H10)&gt;25,"&gt; 25%","ok"))</f>
        <v>N/A</v>
      </c>
      <c r="BK10" s="80"/>
      <c r="BL10" s="80" t="str">
        <f>IF(OR(ISBLANK(J10),ISBLANK(L10)),"N/A",IF(ABS(L10-J10)&gt;25,"&gt; 25%","ok"))</f>
        <v>N/A</v>
      </c>
      <c r="BM10" s="80"/>
      <c r="BN10" s="80" t="str">
        <f>IF(OR(ISBLANK(L10),ISBLANK(N10)),"N/A",IF(ABS(N10-L10)&gt;25,"&gt; 25%","ok"))</f>
        <v>N/A</v>
      </c>
      <c r="BO10" s="80"/>
      <c r="BP10" s="80" t="str">
        <f>IF(OR(ISBLANK(N10),ISBLANK(P10)),"N/A",IF(ABS(P10-N10)&gt;25,"&gt; 25%","ok"))</f>
        <v>N/A</v>
      </c>
      <c r="BQ10" s="80"/>
      <c r="BR10" s="80" t="str">
        <f>IF(OR(ISBLANK(P10),ISBLANK(R10)),"N/A",IF(ABS(R10-P10)&gt;25,"&gt; 25%","ok"))</f>
        <v>N/A</v>
      </c>
      <c r="BS10" s="80"/>
      <c r="BT10" s="80" t="str">
        <f>IF(OR(ISBLANK(R10),ISBLANK(T10)),"N/A",IF(ABS(T10-R10)&gt;25,"&gt; 25%","ok"))</f>
        <v>N/A</v>
      </c>
      <c r="BU10" s="80"/>
      <c r="BV10" s="80" t="str">
        <f>IF(OR(ISBLANK(T10),ISBLANK(V10)),"N/A",IF(ABS(V10-T10)&gt;25,"&gt; 25%","ok"))</f>
        <v>N/A</v>
      </c>
      <c r="BW10" s="80"/>
      <c r="BX10" s="80" t="str">
        <f>IF(OR(ISBLANK(V10),ISBLANK(X10)),"N/A",IF(ABS(X10-V10)&gt;25,"&gt; 25%","ok"))</f>
        <v>N/A</v>
      </c>
      <c r="BY10" s="80"/>
      <c r="BZ10" s="80" t="str">
        <f>IF(OR(ISBLANK(X10),ISBLANK(Z10)),"N/A",IF(ABS(Z10-X10)&gt;25,"&gt; 25%","ok"))</f>
        <v>N/A</v>
      </c>
      <c r="CA10" s="80"/>
      <c r="CB10" s="80" t="str">
        <f>IF(OR(ISBLANK(Z10),ISBLANK(AB10)),"N/A",IF(ABS(AB10-Z10)&gt;25,"&gt; 25%","ok"))</f>
        <v>N/A</v>
      </c>
      <c r="CC10" s="80"/>
      <c r="CD10" s="80" t="str">
        <f>IF(OR(ISBLANK(AB10),ISBLANK(AD10)),"N/A",IF(ABS(AD10-AB10)&gt;25,"&gt; 25%","ok"))</f>
        <v>N/A</v>
      </c>
      <c r="CE10" s="80"/>
      <c r="CF10" s="80" t="str">
        <f>IF(OR(ISBLANK(AD10),ISBLANK(AF10)),"N/A",IF(ABS(AF10-AD10)&gt;25,"&gt; 25%","ok"))</f>
        <v>N/A</v>
      </c>
      <c r="CG10" s="80"/>
      <c r="CH10" s="80" t="str">
        <f>IF(OR(ISBLANK(AF10),ISBLANK(AH10)),"N/A",IF(ABS(AH10-AF10)&gt;25,"&gt; 25%","ok"))</f>
        <v>N/A</v>
      </c>
      <c r="CI10" s="80"/>
      <c r="CJ10" s="80" t="str">
        <f>IF(OR(ISBLANK(AH10),ISBLANK(AJ10)),"N/A",IF(ABS(AJ10-AH10)&gt;25,"&gt; 25%","ok"))</f>
        <v>N/A</v>
      </c>
      <c r="CK10" s="80"/>
      <c r="CL10" s="80" t="str">
        <f>IF(OR(ISBLANK(AJ10),ISBLANK(AL10)),"N/A",IF(ABS(AL10-AJ10)&gt;25,"&gt; 25%","ok"))</f>
        <v>N/A</v>
      </c>
      <c r="CM10" s="80"/>
      <c r="CN10" s="80" t="str">
        <f>IF(OR(ISBLANK(AL10),ISBLANK(AN10)),"N/A",IF(ABS(AN10-AL10)&gt;25,"&gt; 25%","ok"))</f>
        <v>N/A</v>
      </c>
      <c r="CO10" s="80"/>
      <c r="CP10" s="80" t="str">
        <f>IF(OR(ISBLANK(AN10),ISBLANK(AP10)),"N/A",IF(ABS(AP10-AN10)&gt;25,"&gt; 25%","ok"))</f>
        <v>N/A</v>
      </c>
      <c r="CQ10" s="80"/>
      <c r="CR10" s="80" t="str">
        <f>IF(OR(ISBLANK(AP10),ISBLANK(AR10)),"N/A",IF(ABS(AR10-AP10)&gt;25,"&gt; 25%","ok"))</f>
        <v>N/A</v>
      </c>
      <c r="CS10" s="80"/>
      <c r="CT10" s="80" t="str">
        <f>IF(OR(ISBLANK(AR10),ISBLANK(AT10)),"N/A",IF(ABS(AT10-AR10)&gt;25,"&gt; 25%","ok"))</f>
        <v>N/A</v>
      </c>
      <c r="CU10" s="80"/>
      <c r="CV10" s="80" t="str">
        <f>IF(OR(ISBLANK(AT10),ISBLANK(AV10)),"N/A",IF(ABS(AV10-AT10)&gt;25,"&gt; 25%","ok"))</f>
        <v>N/A</v>
      </c>
      <c r="CW10" s="80"/>
      <c r="CX10" s="80" t="str">
        <f>IF(OR(ISBLANK(AV10),ISBLANK(AX10)),"N/A",IF(ABS(AX10-AV10)&gt;25,"&gt; 25%","ok"))</f>
        <v>N/A</v>
      </c>
      <c r="CY10" s="80"/>
      <c r="CZ10" s="80" t="str">
        <f>IF(OR(ISBLANK(AX10),ISBLANK(AZ10)),"N/A",IF(ABS(AZ10-AX10)&gt;25,"&gt; 25%","ok"))</f>
        <v>N/A</v>
      </c>
    </row>
    <row r="11" spans="2:104" ht="36" customHeight="1">
      <c r="B11" s="237">
        <v>165</v>
      </c>
      <c r="C11" s="255">
        <v>4</v>
      </c>
      <c r="D11" s="263" t="s">
        <v>113</v>
      </c>
      <c r="E11" s="240" t="s">
        <v>276</v>
      </c>
      <c r="F11" s="574"/>
      <c r="G11" s="585"/>
      <c r="H11" s="574"/>
      <c r="I11" s="585"/>
      <c r="J11" s="574"/>
      <c r="K11" s="585"/>
      <c r="L11" s="574"/>
      <c r="M11" s="585"/>
      <c r="N11" s="574"/>
      <c r="O11" s="585"/>
      <c r="P11" s="574"/>
      <c r="Q11" s="585"/>
      <c r="R11" s="574"/>
      <c r="S11" s="585"/>
      <c r="T11" s="574"/>
      <c r="U11" s="585"/>
      <c r="V11" s="574"/>
      <c r="W11" s="585"/>
      <c r="X11" s="574"/>
      <c r="Y11" s="585"/>
      <c r="Z11" s="574"/>
      <c r="AA11" s="585"/>
      <c r="AB11" s="574"/>
      <c r="AC11" s="585"/>
      <c r="AD11" s="574"/>
      <c r="AE11" s="585"/>
      <c r="AF11" s="574"/>
      <c r="AG11" s="585"/>
      <c r="AH11" s="574"/>
      <c r="AI11" s="585"/>
      <c r="AJ11" s="574"/>
      <c r="AK11" s="585"/>
      <c r="AL11" s="574"/>
      <c r="AM11" s="585"/>
      <c r="AN11" s="574"/>
      <c r="AO11" s="585"/>
      <c r="AP11" s="574"/>
      <c r="AQ11" s="585"/>
      <c r="AR11" s="574"/>
      <c r="AS11" s="585"/>
      <c r="AT11" s="574"/>
      <c r="AU11" s="585"/>
      <c r="AV11" s="574"/>
      <c r="AW11" s="585"/>
      <c r="AX11" s="574"/>
      <c r="AY11" s="585"/>
      <c r="AZ11" s="574"/>
      <c r="BA11" s="585"/>
      <c r="BC11" s="82">
        <v>4</v>
      </c>
      <c r="BD11" s="264" t="s">
        <v>2</v>
      </c>
      <c r="BE11" s="97" t="s">
        <v>276</v>
      </c>
      <c r="BF11" s="82" t="s">
        <v>85</v>
      </c>
      <c r="BG11" s="607"/>
      <c r="BH11" s="80" t="str">
        <f>IF(OR(ISBLANK(F11),ISBLANK(H11)),"N/A",IF(ABS(H11-F11)&gt;100,"&gt; 100%","ok"))</f>
        <v>N/A</v>
      </c>
      <c r="BI11" s="607"/>
      <c r="BJ11" s="80" t="str">
        <f>IF(OR(ISBLANK(H11),ISBLANK(J11)),"N/A",IF(ABS(J11-H11)&gt;25,"&gt; 25%","ok"))</f>
        <v>N/A</v>
      </c>
      <c r="BK11" s="80"/>
      <c r="BL11" s="80" t="str">
        <f>IF(OR(ISBLANK(J11),ISBLANK(L11)),"N/A",IF(ABS(L11-J11)&gt;25,"&gt; 25%","ok"))</f>
        <v>N/A</v>
      </c>
      <c r="BM11" s="80"/>
      <c r="BN11" s="80" t="str">
        <f>IF(OR(ISBLANK(L11),ISBLANK(N11)),"N/A",IF(ABS(N11-L11)&gt;25,"&gt; 25%","ok"))</f>
        <v>N/A</v>
      </c>
      <c r="BO11" s="80"/>
      <c r="BP11" s="80" t="str">
        <f>IF(OR(ISBLANK(N11),ISBLANK(P11)),"N/A",IF(ABS(P11-N11)&gt;25,"&gt; 25%","ok"))</f>
        <v>N/A</v>
      </c>
      <c r="BQ11" s="80"/>
      <c r="BR11" s="80" t="str">
        <f>IF(OR(ISBLANK(P11),ISBLANK(R11)),"N/A",IF(ABS(R11-P11)&gt;25,"&gt; 25%","ok"))</f>
        <v>N/A</v>
      </c>
      <c r="BS11" s="80"/>
      <c r="BT11" s="80" t="str">
        <f>IF(OR(ISBLANK(R11),ISBLANK(T11)),"N/A",IF(ABS(T11-R11)&gt;25,"&gt; 25%","ok"))</f>
        <v>N/A</v>
      </c>
      <c r="BU11" s="80"/>
      <c r="BV11" s="80" t="str">
        <f>IF(OR(ISBLANK(T11),ISBLANK(V11)),"N/A",IF(ABS(V11-T11)&gt;25,"&gt; 25%","ok"))</f>
        <v>N/A</v>
      </c>
      <c r="BW11" s="80"/>
      <c r="BX11" s="80" t="str">
        <f>IF(OR(ISBLANK(V11),ISBLANK(X11)),"N/A",IF(ABS(X11-V11)&gt;25,"&gt; 25%","ok"))</f>
        <v>N/A</v>
      </c>
      <c r="BY11" s="80"/>
      <c r="BZ11" s="80" t="str">
        <f>IF(OR(ISBLANK(X11),ISBLANK(Z11)),"N/A",IF(ABS(Z11-X11)&gt;25,"&gt; 25%","ok"))</f>
        <v>N/A</v>
      </c>
      <c r="CA11" s="80"/>
      <c r="CB11" s="80" t="str">
        <f>IF(OR(ISBLANK(Z11),ISBLANK(AB11)),"N/A",IF(ABS(AB11-Z11)&gt;25,"&gt; 25%","ok"))</f>
        <v>N/A</v>
      </c>
      <c r="CC11" s="80"/>
      <c r="CD11" s="80" t="str">
        <f>IF(OR(ISBLANK(AB11),ISBLANK(AD11)),"N/A",IF(ABS(AD11-AB11)&gt;25,"&gt; 25%","ok"))</f>
        <v>N/A</v>
      </c>
      <c r="CE11" s="80"/>
      <c r="CF11" s="80" t="str">
        <f>IF(OR(ISBLANK(AD11),ISBLANK(AF11)),"N/A",IF(ABS(AF11-AD11)&gt;25,"&gt; 25%","ok"))</f>
        <v>N/A</v>
      </c>
      <c r="CG11" s="80"/>
      <c r="CH11" s="80" t="str">
        <f>IF(OR(ISBLANK(AF11),ISBLANK(AH11)),"N/A",IF(ABS(AH11-AF11)&gt;25,"&gt; 25%","ok"))</f>
        <v>N/A</v>
      </c>
      <c r="CI11" s="80"/>
      <c r="CJ11" s="80" t="str">
        <f>IF(OR(ISBLANK(AH11),ISBLANK(AJ11)),"N/A",IF(ABS(AJ11-AH11)&gt;25,"&gt; 25%","ok"))</f>
        <v>N/A</v>
      </c>
      <c r="CK11" s="80"/>
      <c r="CL11" s="80" t="str">
        <f>IF(OR(ISBLANK(AJ11),ISBLANK(AL11)),"N/A",IF(ABS(AL11-AJ11)&gt;25,"&gt; 25%","ok"))</f>
        <v>N/A</v>
      </c>
      <c r="CM11" s="80"/>
      <c r="CN11" s="80" t="str">
        <f>IF(OR(ISBLANK(AL11),ISBLANK(AN11)),"N/A",IF(ABS(AN11-AL11)&gt;25,"&gt; 25%","ok"))</f>
        <v>N/A</v>
      </c>
      <c r="CO11" s="80"/>
      <c r="CP11" s="80" t="str">
        <f>IF(OR(ISBLANK(AN11),ISBLANK(AP11)),"N/A",IF(ABS(AP11-AN11)&gt;25,"&gt; 25%","ok"))</f>
        <v>N/A</v>
      </c>
      <c r="CQ11" s="80"/>
      <c r="CR11" s="80" t="str">
        <f>IF(OR(ISBLANK(AP11),ISBLANK(AR11)),"N/A",IF(ABS(AR11-AP11)&gt;25,"&gt; 25%","ok"))</f>
        <v>N/A</v>
      </c>
      <c r="CS11" s="80"/>
      <c r="CT11" s="80" t="str">
        <f>IF(OR(ISBLANK(AR11),ISBLANK(AT11)),"N/A",IF(ABS(AT11-AR11)&gt;25,"&gt; 25%","ok"))</f>
        <v>N/A</v>
      </c>
      <c r="CU11" s="80"/>
      <c r="CV11" s="80" t="str">
        <f>IF(OR(ISBLANK(AT11),ISBLANK(AV11)),"N/A",IF(ABS(AV11-AT11)&gt;25,"&gt; 25%","ok"))</f>
        <v>N/A</v>
      </c>
      <c r="CW11" s="80"/>
      <c r="CX11" s="80" t="str">
        <f>IF(OR(ISBLANK(AV11),ISBLANK(AX11)),"N/A",IF(ABS(AX11-AV11)&gt;25,"&gt; 25%","ok"))</f>
        <v>N/A</v>
      </c>
      <c r="CY11" s="80"/>
      <c r="CZ11" s="80" t="str">
        <f>IF(OR(ISBLANK(AX11),ISBLANK(AZ11)),"N/A",IF(ABS(AZ11-AX11)&gt;25,"&gt; 25%","ok"))</f>
        <v>N/A</v>
      </c>
    </row>
    <row r="12" spans="2:104" ht="36" customHeight="1">
      <c r="B12" s="237">
        <v>298</v>
      </c>
      <c r="C12" s="389">
        <v>5</v>
      </c>
      <c r="D12" s="267" t="s">
        <v>66</v>
      </c>
      <c r="E12" s="389" t="s">
        <v>276</v>
      </c>
      <c r="F12" s="578"/>
      <c r="G12" s="591"/>
      <c r="H12" s="578"/>
      <c r="I12" s="591"/>
      <c r="J12" s="578"/>
      <c r="K12" s="591"/>
      <c r="L12" s="578"/>
      <c r="M12" s="591"/>
      <c r="N12" s="578"/>
      <c r="O12" s="591"/>
      <c r="P12" s="578"/>
      <c r="Q12" s="591"/>
      <c r="R12" s="578"/>
      <c r="S12" s="591"/>
      <c r="T12" s="578"/>
      <c r="U12" s="591"/>
      <c r="V12" s="578"/>
      <c r="W12" s="591"/>
      <c r="X12" s="578"/>
      <c r="Y12" s="591"/>
      <c r="Z12" s="578"/>
      <c r="AA12" s="591"/>
      <c r="AB12" s="578"/>
      <c r="AC12" s="591"/>
      <c r="AD12" s="578"/>
      <c r="AE12" s="591"/>
      <c r="AF12" s="578"/>
      <c r="AG12" s="591"/>
      <c r="AH12" s="578"/>
      <c r="AI12" s="591"/>
      <c r="AJ12" s="578"/>
      <c r="AK12" s="591"/>
      <c r="AL12" s="578"/>
      <c r="AM12" s="591"/>
      <c r="AN12" s="578"/>
      <c r="AO12" s="591"/>
      <c r="AP12" s="578"/>
      <c r="AQ12" s="591"/>
      <c r="AR12" s="578"/>
      <c r="AS12" s="591"/>
      <c r="AT12" s="578"/>
      <c r="AU12" s="591"/>
      <c r="AV12" s="578"/>
      <c r="AW12" s="591"/>
      <c r="AX12" s="578"/>
      <c r="AY12" s="591"/>
      <c r="AZ12" s="578"/>
      <c r="BA12" s="591"/>
      <c r="BC12" s="95">
        <v>5</v>
      </c>
      <c r="BD12" s="455" t="s">
        <v>66</v>
      </c>
      <c r="BE12" s="95" t="s">
        <v>276</v>
      </c>
      <c r="BF12" s="95" t="s">
        <v>85</v>
      </c>
      <c r="BG12" s="610"/>
      <c r="BH12" s="80" t="str">
        <f>IF(OR(ISBLANK(F12),ISBLANK(H12)),"N/A",IF(ABS(H12-F12)&gt;100,"&gt; 100%","ok"))</f>
        <v>N/A</v>
      </c>
      <c r="BI12" s="610"/>
      <c r="BJ12" s="81" t="str">
        <f>IF(OR(ISBLANK(H12),ISBLANK(J12)),"N/A",IF(ABS(J12-H12)&gt;25,"&gt; 25%","ok"))</f>
        <v>N/A</v>
      </c>
      <c r="BK12" s="81"/>
      <c r="BL12" s="81" t="str">
        <f>IF(OR(ISBLANK(J12),ISBLANK(L12)),"N/A",IF(ABS(L12-J12)&gt;25,"&gt; 25%","ok"))</f>
        <v>N/A</v>
      </c>
      <c r="BM12" s="81"/>
      <c r="BN12" s="81" t="str">
        <f>IF(OR(ISBLANK(L12),ISBLANK(N12)),"N/A",IF(ABS(N12-L12)&gt;25,"&gt; 25%","ok"))</f>
        <v>N/A</v>
      </c>
      <c r="BO12" s="81"/>
      <c r="BP12" s="81" t="str">
        <f>IF(OR(ISBLANK(N12),ISBLANK(P12)),"N/A",IF(ABS(P12-N12)&gt;25,"&gt; 25%","ok"))</f>
        <v>N/A</v>
      </c>
      <c r="BQ12" s="81"/>
      <c r="BR12" s="81" t="str">
        <f>IF(OR(ISBLANK(P12),ISBLANK(R12)),"N/A",IF(ABS(R12-P12)&gt;25,"&gt; 25%","ok"))</f>
        <v>N/A</v>
      </c>
      <c r="BS12" s="81"/>
      <c r="BT12" s="81" t="str">
        <f>IF(OR(ISBLANK(R12),ISBLANK(T12)),"N/A",IF(ABS(T12-R12)&gt;25,"&gt; 25%","ok"))</f>
        <v>N/A</v>
      </c>
      <c r="BU12" s="81"/>
      <c r="BV12" s="81" t="str">
        <f>IF(OR(ISBLANK(T12),ISBLANK(V12)),"N/A",IF(ABS(V12-T12)&gt;25,"&gt; 25%","ok"))</f>
        <v>N/A</v>
      </c>
      <c r="BW12" s="81"/>
      <c r="BX12" s="81" t="str">
        <f>IF(OR(ISBLANK(V12),ISBLANK(X12)),"N/A",IF(ABS(X12-V12)&gt;25,"&gt; 25%","ok"))</f>
        <v>N/A</v>
      </c>
      <c r="BY12" s="81"/>
      <c r="BZ12" s="81" t="str">
        <f>IF(OR(ISBLANK(X12),ISBLANK(Z12)),"N/A",IF(ABS(Z12-X12)&gt;25,"&gt; 25%","ok"))</f>
        <v>N/A</v>
      </c>
      <c r="CA12" s="81"/>
      <c r="CB12" s="81" t="str">
        <f>IF(OR(ISBLANK(Z12),ISBLANK(AB12)),"N/A",IF(ABS(AB12-Z12)&gt;25,"&gt; 25%","ok"))</f>
        <v>N/A</v>
      </c>
      <c r="CC12" s="81"/>
      <c r="CD12" s="81" t="str">
        <f>IF(OR(ISBLANK(AB12),ISBLANK(AD12)),"N/A",IF(ABS(AD12-AB12)&gt;25,"&gt; 25%","ok"))</f>
        <v>N/A</v>
      </c>
      <c r="CE12" s="81"/>
      <c r="CF12" s="81" t="str">
        <f>IF(OR(ISBLANK(AD12),ISBLANK(AF12)),"N/A",IF(ABS(AF12-AD12)&gt;25,"&gt; 25%","ok"))</f>
        <v>N/A</v>
      </c>
      <c r="CG12" s="81"/>
      <c r="CH12" s="81" t="str">
        <f>IF(OR(ISBLANK(AF12),ISBLANK(AH12)),"N/A",IF(ABS(AH12-AF12)&gt;25,"&gt; 25%","ok"))</f>
        <v>N/A</v>
      </c>
      <c r="CI12" s="81"/>
      <c r="CJ12" s="81" t="str">
        <f>IF(OR(ISBLANK(AH12),ISBLANK(AJ12)),"N/A",IF(ABS(AJ12-AH12)&gt;25,"&gt; 25%","ok"))</f>
        <v>N/A</v>
      </c>
      <c r="CK12" s="81"/>
      <c r="CL12" s="81" t="str">
        <f>IF(OR(ISBLANK(AJ12),ISBLANK(AL12)),"N/A",IF(ABS(AL12-AJ12)&gt;25,"&gt; 25%","ok"))</f>
        <v>N/A</v>
      </c>
      <c r="CM12" s="81"/>
      <c r="CN12" s="81" t="str">
        <f>IF(OR(ISBLANK(AL12),ISBLANK(AN12)),"N/A",IF(ABS(AN12-AL12)&gt;25,"&gt; 25%","ok"))</f>
        <v>N/A</v>
      </c>
      <c r="CO12" s="81"/>
      <c r="CP12" s="81" t="str">
        <f>IF(OR(ISBLANK(AN12),ISBLANK(AP12)),"N/A",IF(ABS(AP12-AN12)&gt;25,"&gt; 25%","ok"))</f>
        <v>N/A</v>
      </c>
      <c r="CQ12" s="81"/>
      <c r="CR12" s="81" t="str">
        <f>IF(OR(ISBLANK(AP12),ISBLANK(AR12)),"N/A",IF(ABS(AR12-AP12)&gt;25,"&gt; 25%","ok"))</f>
        <v>N/A</v>
      </c>
      <c r="CS12" s="81"/>
      <c r="CT12" s="81" t="str">
        <f>IF(OR(ISBLANK(AR12),ISBLANK(AT12)),"N/A",IF(ABS(AT12-AR12)&gt;25,"&gt; 25%","ok"))</f>
        <v>N/A</v>
      </c>
      <c r="CU12" s="81"/>
      <c r="CV12" s="81" t="str">
        <f>IF(OR(ISBLANK(AT12),ISBLANK(AV12)),"N/A",IF(ABS(AV12-AT12)&gt;25,"&gt; 25%","ok"))</f>
        <v>N/A</v>
      </c>
      <c r="CW12" s="81"/>
      <c r="CX12" s="81" t="str">
        <f>IF(OR(ISBLANK(AV12),ISBLANK(AX12)),"N/A",IF(ABS(AX12-AV12)&gt;25,"&gt; 25%","ok"))</f>
        <v>N/A</v>
      </c>
      <c r="CY12" s="81"/>
      <c r="CZ12" s="81" t="str">
        <f>IF(OR(ISBLANK(AX12),ISBLANK(AZ12)),"N/A",IF(ABS(AZ12-AX12)&gt;25,"&gt; 25%","ok"))</f>
        <v>N/A</v>
      </c>
    </row>
    <row r="13" spans="3:40" ht="5.25" customHeight="1">
      <c r="C13" s="497"/>
      <c r="D13" s="208"/>
      <c r="E13" s="294"/>
      <c r="F13" s="208"/>
      <c r="G13" s="208"/>
      <c r="H13" s="208"/>
      <c r="I13" s="207"/>
      <c r="J13" s="289"/>
      <c r="K13" s="207"/>
      <c r="L13" s="289"/>
      <c r="M13" s="207"/>
      <c r="N13" s="289"/>
      <c r="O13" s="207"/>
      <c r="P13" s="289"/>
      <c r="Q13" s="207"/>
      <c r="R13" s="289"/>
      <c r="S13" s="207"/>
      <c r="T13" s="289"/>
      <c r="U13" s="207"/>
      <c r="V13" s="289"/>
      <c r="W13" s="207"/>
      <c r="X13" s="208"/>
      <c r="Y13" s="207"/>
      <c r="Z13" s="208"/>
      <c r="AA13" s="207"/>
      <c r="AB13" s="208"/>
      <c r="AC13" s="207"/>
      <c r="AD13" s="208"/>
      <c r="AE13" s="207"/>
      <c r="AF13" s="208"/>
      <c r="AG13" s="207"/>
      <c r="AH13" s="208"/>
      <c r="AI13" s="207"/>
      <c r="AJ13" s="289"/>
      <c r="AK13" s="207"/>
      <c r="AL13" s="208"/>
      <c r="AM13" s="207"/>
      <c r="AN13" s="208"/>
    </row>
    <row r="14" spans="3:55" ht="12.75">
      <c r="C14" s="354" t="s">
        <v>304</v>
      </c>
      <c r="D14" s="270"/>
      <c r="E14" s="457"/>
      <c r="F14" s="354"/>
      <c r="G14" s="354"/>
      <c r="BC14" s="364" t="s">
        <v>47</v>
      </c>
    </row>
    <row r="15" spans="1:118" ht="15.75" customHeight="1">
      <c r="A15" s="280"/>
      <c r="B15" s="280"/>
      <c r="C15" s="278" t="s">
        <v>148</v>
      </c>
      <c r="D15" s="777" t="s">
        <v>149</v>
      </c>
      <c r="E15" s="777"/>
      <c r="F15" s="777"/>
      <c r="G15" s="777"/>
      <c r="H15" s="777"/>
      <c r="I15" s="777"/>
      <c r="J15" s="777"/>
      <c r="K15" s="777"/>
      <c r="L15" s="777"/>
      <c r="M15" s="777"/>
      <c r="N15" s="777"/>
      <c r="O15" s="777"/>
      <c r="P15" s="777"/>
      <c r="Q15" s="777"/>
      <c r="R15" s="777"/>
      <c r="S15" s="777"/>
      <c r="T15" s="777"/>
      <c r="U15" s="777"/>
      <c r="V15" s="777"/>
      <c r="W15" s="777"/>
      <c r="X15" s="777"/>
      <c r="Y15" s="777"/>
      <c r="Z15" s="777"/>
      <c r="AA15" s="777"/>
      <c r="AB15" s="777"/>
      <c r="AC15" s="777"/>
      <c r="AD15" s="777"/>
      <c r="AE15" s="777"/>
      <c r="AF15" s="777"/>
      <c r="AG15" s="777"/>
      <c r="AH15" s="777"/>
      <c r="AI15" s="777"/>
      <c r="AJ15" s="777"/>
      <c r="AK15" s="777"/>
      <c r="AL15" s="777"/>
      <c r="AM15" s="777"/>
      <c r="AN15" s="777"/>
      <c r="AO15" s="777"/>
      <c r="AP15" s="777"/>
      <c r="AQ15" s="777"/>
      <c r="AR15" s="777"/>
      <c r="AS15" s="777"/>
      <c r="AT15" s="777"/>
      <c r="AU15" s="777"/>
      <c r="AV15" s="777"/>
      <c r="AW15" s="777"/>
      <c r="AX15" s="777"/>
      <c r="AY15" s="777"/>
      <c r="AZ15" s="777"/>
      <c r="BA15" s="777"/>
      <c r="BB15" s="777"/>
      <c r="BC15" s="233" t="s">
        <v>301</v>
      </c>
      <c r="BD15" s="233" t="s">
        <v>302</v>
      </c>
      <c r="BE15" s="233" t="s">
        <v>305</v>
      </c>
      <c r="BF15" s="616">
        <v>1990</v>
      </c>
      <c r="BG15" s="617"/>
      <c r="BH15" s="616">
        <v>1995</v>
      </c>
      <c r="BI15" s="617"/>
      <c r="BJ15" s="616">
        <v>1996</v>
      </c>
      <c r="BK15" s="617"/>
      <c r="BL15" s="616">
        <v>1997</v>
      </c>
      <c r="BM15" s="617"/>
      <c r="BN15" s="616">
        <v>1998</v>
      </c>
      <c r="BO15" s="617"/>
      <c r="BP15" s="616">
        <v>1999</v>
      </c>
      <c r="BQ15" s="617"/>
      <c r="BR15" s="616">
        <v>2000</v>
      </c>
      <c r="BS15" s="617"/>
      <c r="BT15" s="616">
        <v>2001</v>
      </c>
      <c r="BU15" s="617"/>
      <c r="BV15" s="616">
        <v>2002</v>
      </c>
      <c r="BW15" s="617"/>
      <c r="BX15" s="616">
        <v>2003</v>
      </c>
      <c r="BY15" s="617"/>
      <c r="BZ15" s="616">
        <v>2004</v>
      </c>
      <c r="CA15" s="617"/>
      <c r="CB15" s="616">
        <v>2005</v>
      </c>
      <c r="CC15" s="617"/>
      <c r="CD15" s="616">
        <v>2006</v>
      </c>
      <c r="CE15" s="617"/>
      <c r="CF15" s="616">
        <v>2007</v>
      </c>
      <c r="CG15" s="617"/>
      <c r="CH15" s="616">
        <v>2008</v>
      </c>
      <c r="CI15" s="617"/>
      <c r="CJ15" s="616">
        <v>2009</v>
      </c>
      <c r="CK15" s="617"/>
      <c r="CL15" s="616">
        <v>2010</v>
      </c>
      <c r="CM15" s="617"/>
      <c r="CN15" s="616">
        <v>2011</v>
      </c>
      <c r="CO15" s="618"/>
      <c r="CP15" s="616">
        <v>2012</v>
      </c>
      <c r="CQ15" s="617"/>
      <c r="CR15" s="616">
        <v>2013</v>
      </c>
      <c r="CS15" s="617"/>
      <c r="CT15" s="616">
        <v>2014</v>
      </c>
      <c r="CU15" s="618"/>
      <c r="CV15" s="616">
        <v>2015</v>
      </c>
      <c r="CW15" s="617"/>
      <c r="CX15" s="616">
        <v>2016</v>
      </c>
      <c r="CY15" s="618"/>
      <c r="CZ15" s="616">
        <v>2017</v>
      </c>
      <c r="DA15" s="285"/>
      <c r="DB15" s="285"/>
      <c r="DC15" s="285"/>
      <c r="DD15" s="285"/>
      <c r="DE15" s="285"/>
      <c r="DF15" s="285"/>
      <c r="DG15" s="285"/>
      <c r="DH15" s="285"/>
      <c r="DI15" s="285"/>
      <c r="DJ15" s="285"/>
      <c r="DK15" s="285"/>
      <c r="DL15" s="285"/>
      <c r="DM15" s="285"/>
      <c r="DN15" s="285"/>
    </row>
    <row r="16" spans="1:118" ht="14.25" customHeight="1">
      <c r="A16" s="280"/>
      <c r="B16" s="280"/>
      <c r="C16" s="278" t="s">
        <v>148</v>
      </c>
      <c r="D16" s="767" t="s">
        <v>114</v>
      </c>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67"/>
      <c r="AL16" s="767"/>
      <c r="AM16" s="767"/>
      <c r="AN16" s="767"/>
      <c r="AO16" s="767"/>
      <c r="AP16" s="767"/>
      <c r="AQ16" s="767"/>
      <c r="AR16" s="767"/>
      <c r="AS16" s="767"/>
      <c r="AT16" s="767"/>
      <c r="AU16" s="767"/>
      <c r="AV16" s="767"/>
      <c r="AW16" s="767"/>
      <c r="AX16" s="767"/>
      <c r="AY16" s="767"/>
      <c r="AZ16" s="767"/>
      <c r="BA16" s="767"/>
      <c r="BB16" s="767"/>
      <c r="BC16" s="394">
        <v>1</v>
      </c>
      <c r="BD16" s="536" t="s">
        <v>9</v>
      </c>
      <c r="BE16" s="97" t="s">
        <v>276</v>
      </c>
      <c r="BF16" s="97">
        <f>F8</f>
        <v>0</v>
      </c>
      <c r="BG16" s="97"/>
      <c r="BH16" s="97">
        <f>H8</f>
        <v>0</v>
      </c>
      <c r="BI16" s="97"/>
      <c r="BJ16" s="97">
        <f>J8</f>
        <v>0</v>
      </c>
      <c r="BK16" s="97"/>
      <c r="BL16" s="97">
        <f>L8</f>
        <v>0</v>
      </c>
      <c r="BM16" s="97"/>
      <c r="BN16" s="97">
        <f>N8</f>
        <v>0</v>
      </c>
      <c r="BO16" s="97"/>
      <c r="BP16" s="97">
        <f>P8</f>
        <v>0</v>
      </c>
      <c r="BQ16" s="97"/>
      <c r="BR16" s="97">
        <f>R8</f>
        <v>0</v>
      </c>
      <c r="BS16" s="97"/>
      <c r="BT16" s="97">
        <f>T8</f>
        <v>0</v>
      </c>
      <c r="BU16" s="97"/>
      <c r="BV16" s="97">
        <f>V8</f>
        <v>0</v>
      </c>
      <c r="BW16" s="97"/>
      <c r="BX16" s="97">
        <f>X8</f>
        <v>0</v>
      </c>
      <c r="BY16" s="97"/>
      <c r="BZ16" s="97">
        <f>Z8</f>
        <v>0</v>
      </c>
      <c r="CA16" s="97"/>
      <c r="CB16" s="97">
        <f>AB8</f>
        <v>0</v>
      </c>
      <c r="CC16" s="97"/>
      <c r="CD16" s="97">
        <f>AD8</f>
        <v>0</v>
      </c>
      <c r="CE16" s="97"/>
      <c r="CF16" s="97">
        <f>AF8</f>
        <v>0</v>
      </c>
      <c r="CG16" s="97"/>
      <c r="CH16" s="97">
        <f>AH8</f>
        <v>0</v>
      </c>
      <c r="CI16" s="97"/>
      <c r="CJ16" s="97">
        <f>AJ8</f>
        <v>0</v>
      </c>
      <c r="CK16" s="97"/>
      <c r="CL16" s="97">
        <f>AL8</f>
        <v>0</v>
      </c>
      <c r="CM16" s="97"/>
      <c r="CN16" s="97">
        <f>AN8</f>
        <v>0</v>
      </c>
      <c r="CO16" s="97"/>
      <c r="CP16" s="97">
        <f>AP8</f>
        <v>0</v>
      </c>
      <c r="CQ16" s="606"/>
      <c r="CR16" s="97">
        <f>AR8</f>
        <v>0</v>
      </c>
      <c r="CS16" s="97"/>
      <c r="CT16" s="97">
        <f>AT8</f>
        <v>0</v>
      </c>
      <c r="CU16" s="97"/>
      <c r="CV16" s="97">
        <f>AV8</f>
        <v>0</v>
      </c>
      <c r="CW16" s="97"/>
      <c r="CX16" s="97">
        <f>AX8</f>
        <v>0</v>
      </c>
      <c r="CY16" s="97"/>
      <c r="CZ16" s="97">
        <f>AZ8</f>
        <v>0</v>
      </c>
      <c r="DA16" s="285"/>
      <c r="DB16" s="285"/>
      <c r="DC16" s="285"/>
      <c r="DD16" s="285"/>
      <c r="DE16" s="285"/>
      <c r="DF16" s="285"/>
      <c r="DG16" s="285"/>
      <c r="DH16" s="285"/>
      <c r="DI16" s="285"/>
      <c r="DJ16" s="285"/>
      <c r="DK16" s="285"/>
      <c r="DL16" s="285"/>
      <c r="DM16" s="285"/>
      <c r="DN16" s="285"/>
    </row>
    <row r="17" spans="1:118" ht="18" customHeight="1">
      <c r="A17" s="280"/>
      <c r="B17" s="280"/>
      <c r="C17" s="278"/>
      <c r="D17" s="771"/>
      <c r="E17" s="771"/>
      <c r="F17" s="771"/>
      <c r="G17" s="771"/>
      <c r="H17" s="771"/>
      <c r="I17" s="771"/>
      <c r="J17" s="771"/>
      <c r="K17" s="771"/>
      <c r="L17" s="771"/>
      <c r="M17" s="771"/>
      <c r="N17" s="771"/>
      <c r="O17" s="771"/>
      <c r="P17" s="771"/>
      <c r="Q17" s="771"/>
      <c r="R17" s="771"/>
      <c r="S17" s="771"/>
      <c r="T17" s="771"/>
      <c r="U17" s="771"/>
      <c r="V17" s="771"/>
      <c r="W17" s="771"/>
      <c r="X17" s="771"/>
      <c r="Y17" s="771"/>
      <c r="Z17" s="771"/>
      <c r="AA17" s="771"/>
      <c r="AB17" s="771"/>
      <c r="AC17" s="771"/>
      <c r="AD17" s="771"/>
      <c r="AE17" s="771"/>
      <c r="AF17" s="771"/>
      <c r="AG17" s="771"/>
      <c r="AH17" s="771"/>
      <c r="AI17" s="771"/>
      <c r="AJ17" s="771"/>
      <c r="AK17" s="771"/>
      <c r="AL17" s="771"/>
      <c r="AM17" s="771"/>
      <c r="AN17" s="771"/>
      <c r="AO17" s="771"/>
      <c r="AP17" s="771"/>
      <c r="AQ17" s="771"/>
      <c r="AR17" s="771"/>
      <c r="AS17" s="771"/>
      <c r="AT17" s="771"/>
      <c r="AU17" s="771"/>
      <c r="AV17" s="771"/>
      <c r="AW17" s="771"/>
      <c r="AX17" s="771"/>
      <c r="AY17" s="771"/>
      <c r="AZ17" s="771"/>
      <c r="BA17" s="771"/>
      <c r="BB17" s="771"/>
      <c r="BC17" s="376">
        <v>2</v>
      </c>
      <c r="BD17" s="538" t="s">
        <v>10</v>
      </c>
      <c r="BE17" s="97" t="s">
        <v>276</v>
      </c>
      <c r="BF17" s="97">
        <f>F9</f>
        <v>0</v>
      </c>
      <c r="BG17" s="97"/>
      <c r="BH17" s="97">
        <f>H9</f>
        <v>0</v>
      </c>
      <c r="BI17" s="97"/>
      <c r="BJ17" s="97">
        <f>J9</f>
        <v>0</v>
      </c>
      <c r="BK17" s="97"/>
      <c r="BL17" s="97">
        <f>L9</f>
        <v>0</v>
      </c>
      <c r="BM17" s="97"/>
      <c r="BN17" s="97">
        <f>N9</f>
        <v>0</v>
      </c>
      <c r="BO17" s="97"/>
      <c r="BP17" s="97">
        <f>P9</f>
        <v>0</v>
      </c>
      <c r="BQ17" s="97"/>
      <c r="BR17" s="97">
        <f>R9</f>
        <v>0</v>
      </c>
      <c r="BS17" s="97"/>
      <c r="BT17" s="97">
        <f>T9</f>
        <v>0</v>
      </c>
      <c r="BU17" s="97"/>
      <c r="BV17" s="97">
        <f>V9</f>
        <v>0</v>
      </c>
      <c r="BW17" s="97"/>
      <c r="BX17" s="97">
        <f>X9</f>
        <v>0</v>
      </c>
      <c r="BY17" s="97"/>
      <c r="BZ17" s="97">
        <f>Z9</f>
        <v>0</v>
      </c>
      <c r="CA17" s="97"/>
      <c r="CB17" s="97">
        <f>AB9</f>
        <v>0</v>
      </c>
      <c r="CC17" s="97"/>
      <c r="CD17" s="97">
        <f>AD9</f>
        <v>0</v>
      </c>
      <c r="CE17" s="97"/>
      <c r="CF17" s="97">
        <f>AF9</f>
        <v>0</v>
      </c>
      <c r="CG17" s="97"/>
      <c r="CH17" s="97">
        <f>AH9</f>
        <v>0</v>
      </c>
      <c r="CI17" s="97"/>
      <c r="CJ17" s="97">
        <f>AJ9</f>
        <v>0</v>
      </c>
      <c r="CK17" s="97"/>
      <c r="CL17" s="97">
        <f>AL9</f>
        <v>0</v>
      </c>
      <c r="CM17" s="97"/>
      <c r="CN17" s="97">
        <f>AN9</f>
        <v>0</v>
      </c>
      <c r="CO17" s="97"/>
      <c r="CP17" s="97">
        <f>AP9</f>
        <v>0</v>
      </c>
      <c r="CQ17" s="606"/>
      <c r="CR17" s="97">
        <f>AR9</f>
        <v>0</v>
      </c>
      <c r="CS17" s="97"/>
      <c r="CT17" s="97">
        <f>AT9</f>
        <v>0</v>
      </c>
      <c r="CU17" s="97"/>
      <c r="CV17" s="97">
        <f>AV9</f>
        <v>0</v>
      </c>
      <c r="CW17" s="97"/>
      <c r="CX17" s="97">
        <f>AX9</f>
        <v>0</v>
      </c>
      <c r="CY17" s="97"/>
      <c r="CZ17" s="97">
        <f>AZ9</f>
        <v>0</v>
      </c>
      <c r="DA17" s="285"/>
      <c r="DB17" s="285"/>
      <c r="DC17" s="285"/>
      <c r="DD17" s="285"/>
      <c r="DE17" s="285"/>
      <c r="DF17" s="285"/>
      <c r="DG17" s="285"/>
      <c r="DH17" s="285"/>
      <c r="DI17" s="285"/>
      <c r="DJ17" s="285"/>
      <c r="DK17" s="285"/>
      <c r="DL17" s="285"/>
      <c r="DM17" s="285"/>
      <c r="DN17" s="285"/>
    </row>
    <row r="18" spans="1:104" s="202" customFormat="1" ht="16.5" customHeight="1">
      <c r="A18" s="180"/>
      <c r="B18" s="181"/>
      <c r="C18" s="396"/>
      <c r="D18" s="470"/>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0"/>
      <c r="AJ18" s="470"/>
      <c r="AK18" s="470"/>
      <c r="AL18" s="470"/>
      <c r="AM18" s="470"/>
      <c r="AN18" s="470"/>
      <c r="AO18" s="470"/>
      <c r="AP18" s="470"/>
      <c r="AQ18" s="470"/>
      <c r="AR18" s="470"/>
      <c r="AS18" s="470"/>
      <c r="AT18" s="470"/>
      <c r="AU18" s="470"/>
      <c r="AV18" s="470"/>
      <c r="AW18" s="470"/>
      <c r="AX18" s="470"/>
      <c r="AY18" s="470"/>
      <c r="AZ18" s="470"/>
      <c r="BA18" s="470"/>
      <c r="BB18" s="470"/>
      <c r="BC18" s="287" t="s">
        <v>182</v>
      </c>
      <c r="BD18" s="284" t="s">
        <v>49</v>
      </c>
      <c r="BE18" s="97"/>
      <c r="BF18" s="97" t="str">
        <f>IF(OR(ISBLANK(F8),ISBLANK(F9)),"N/A",IF(BF16&gt;=BF17,"ok","&lt;&gt;"))</f>
        <v>N/A</v>
      </c>
      <c r="BG18" s="97"/>
      <c r="BH18" s="97" t="str">
        <f>IF(OR(ISBLANK(H8),ISBLANK(H9)),"N/A",IF(BH16&gt;=BH17,"ok","&lt;&gt;"))</f>
        <v>N/A</v>
      </c>
      <c r="BI18" s="97"/>
      <c r="BJ18" s="97" t="str">
        <f>IF(OR(ISBLANK(J8),ISBLANK(J9)),"N/A",IF(BJ16&gt;=BJ17,"ok","&lt;&gt;"))</f>
        <v>N/A</v>
      </c>
      <c r="BK18" s="97"/>
      <c r="BL18" s="97" t="str">
        <f>IF(OR(ISBLANK(L8),ISBLANK(L9)),"N/A",IF(BL16&gt;=BL17,"ok","&lt;&gt;"))</f>
        <v>N/A</v>
      </c>
      <c r="BM18" s="97"/>
      <c r="BN18" s="97" t="str">
        <f>IF(OR(ISBLANK(N8),ISBLANK(N9)),"N/A",IF(BN16&gt;=BN17,"ok","&lt;&gt;"))</f>
        <v>N/A</v>
      </c>
      <c r="BO18" s="97"/>
      <c r="BP18" s="97" t="str">
        <f>IF(OR(ISBLANK(P8),ISBLANK(P9)),"N/A",IF(BP16&gt;=BP17,"ok","&lt;&gt;"))</f>
        <v>N/A</v>
      </c>
      <c r="BQ18" s="97"/>
      <c r="BR18" s="97" t="str">
        <f>IF(OR(ISBLANK(R8),ISBLANK(R9)),"N/A",IF(BR16&gt;=BR17,"ok","&lt;&gt;"))</f>
        <v>N/A</v>
      </c>
      <c r="BS18" s="97"/>
      <c r="BT18" s="97" t="str">
        <f>IF(OR(ISBLANK(T8),ISBLANK(T9)),"N/A",IF(BT16&gt;=BT17,"ok","&lt;&gt;"))</f>
        <v>N/A</v>
      </c>
      <c r="BU18" s="97"/>
      <c r="BV18" s="97" t="str">
        <f>IF(OR(ISBLANK(V8),ISBLANK(V9)),"N/A",IF(BV16&gt;=BV17,"ok","&lt;&gt;"))</f>
        <v>N/A</v>
      </c>
      <c r="BW18" s="97"/>
      <c r="BX18" s="97" t="str">
        <f>IF(OR(ISBLANK(X8),ISBLANK(X9)),"N/A",IF(BX16&gt;=BX17,"ok","&lt;&gt;"))</f>
        <v>N/A</v>
      </c>
      <c r="BY18" s="97"/>
      <c r="BZ18" s="97" t="str">
        <f>IF(OR(ISBLANK(Z8),ISBLANK(Z9)),"N/A",IF(BZ16&gt;=BZ17,"ok","&lt;&gt;"))</f>
        <v>N/A</v>
      </c>
      <c r="CA18" s="97"/>
      <c r="CB18" s="97" t="str">
        <f>IF(OR(ISBLANK(AB8),ISBLANK(AB9)),"N/A",IF(CB16&gt;=CB17,"ok","&lt;&gt;"))</f>
        <v>N/A</v>
      </c>
      <c r="CC18" s="97"/>
      <c r="CD18" s="97" t="str">
        <f>IF(OR(ISBLANK(AD8),ISBLANK(AD9)),"N/A",IF(CD16&gt;=CD17,"ok","&lt;&gt;"))</f>
        <v>N/A</v>
      </c>
      <c r="CE18" s="97"/>
      <c r="CF18" s="97" t="str">
        <f>IF(OR(ISBLANK(AF8),ISBLANK(AF9)),"N/A",IF(CF16&gt;=CF17,"ok","&lt;&gt;"))</f>
        <v>N/A</v>
      </c>
      <c r="CG18" s="97"/>
      <c r="CH18" s="97" t="str">
        <f>IF(OR(ISBLANK(AH8),ISBLANK(AH9)),"N/A",IF(CH16&gt;=CH17,"ok","&lt;&gt;"))</f>
        <v>N/A</v>
      </c>
      <c r="CI18" s="97"/>
      <c r="CJ18" s="97" t="str">
        <f>IF(OR(ISBLANK(AJ8),ISBLANK(AJ9)),"N/A",IF(CJ16&gt;=CJ17,"ok","&lt;&gt;"))</f>
        <v>N/A</v>
      </c>
      <c r="CK18" s="97"/>
      <c r="CL18" s="97" t="str">
        <f>IF(OR(ISBLANK(AL8),ISBLANK(AL9)),"N/A",IF(CL16&gt;=CL17,"ok","&lt;&gt;"))</f>
        <v>N/A</v>
      </c>
      <c r="CM18" s="97"/>
      <c r="CN18" s="97" t="str">
        <f>IF(OR(ISBLANK(AN8),ISBLANK(AN9)),"N/A",IF(CN16&gt;=CN17,"ok","&lt;&gt;"))</f>
        <v>N/A</v>
      </c>
      <c r="CO18" s="97"/>
      <c r="CP18" s="97" t="str">
        <f>IF(OR(ISBLANK(AP8),ISBLANK(AP9)),"N/A",IF(CP16&gt;=CP17,"ok","&lt;&gt;"))</f>
        <v>N/A</v>
      </c>
      <c r="CQ18" s="606"/>
      <c r="CR18" s="97" t="str">
        <f>IF(OR(ISBLANK(AR8),ISBLANK(AR9)),"N/A",IF(CR16&gt;=CR17,"ok","&lt;&gt;"))</f>
        <v>N/A</v>
      </c>
      <c r="CS18" s="97"/>
      <c r="CT18" s="97" t="str">
        <f>IF(OR(ISBLANK(AT8),ISBLANK(AT9)),"N/A",IF(CT16&gt;=CT17,"ok","&lt;&gt;"))</f>
        <v>N/A</v>
      </c>
      <c r="CU18" s="97"/>
      <c r="CV18" s="97" t="str">
        <f>IF(OR(ISBLANK(AV8),ISBLANK(AV9)),"N/A",IF(CV16&gt;=CV17,"ok","&lt;&gt;"))</f>
        <v>N/A</v>
      </c>
      <c r="CW18" s="97"/>
      <c r="CX18" s="97" t="str">
        <f>IF(OR(ISBLANK(AX8),ISBLANK(AX9)),"N/A",IF(CX16&gt;=CX17,"ok","&lt;&gt;"))</f>
        <v>N/A</v>
      </c>
      <c r="CY18" s="97"/>
      <c r="CZ18" s="97" t="str">
        <f>IF(OR(ISBLANK(AZ8),ISBLANK(AZ9)),"N/A",IF(CZ16&gt;=CZ17,"ok","&lt;&gt;"))</f>
        <v>N/A</v>
      </c>
    </row>
    <row r="19" spans="1:104" s="431" customFormat="1" ht="22.5">
      <c r="A19" s="430"/>
      <c r="B19" s="417">
        <v>1</v>
      </c>
      <c r="C19" s="301" t="s">
        <v>312</v>
      </c>
      <c r="D19" s="397"/>
      <c r="E19" s="301"/>
      <c r="F19" s="213"/>
      <c r="G19" s="213"/>
      <c r="H19" s="304"/>
      <c r="I19" s="305"/>
      <c r="J19" s="306"/>
      <c r="K19" s="305"/>
      <c r="L19" s="306"/>
      <c r="M19" s="305"/>
      <c r="N19" s="306"/>
      <c r="O19" s="305"/>
      <c r="P19" s="306"/>
      <c r="Q19" s="305"/>
      <c r="R19" s="306"/>
      <c r="S19" s="305"/>
      <c r="T19" s="306"/>
      <c r="U19" s="305"/>
      <c r="V19" s="306"/>
      <c r="W19" s="305"/>
      <c r="X19" s="304"/>
      <c r="Y19" s="305"/>
      <c r="Z19" s="304"/>
      <c r="AA19" s="305"/>
      <c r="AB19" s="304"/>
      <c r="AC19" s="305"/>
      <c r="AD19" s="304"/>
      <c r="AE19" s="305"/>
      <c r="AF19" s="304"/>
      <c r="AG19" s="398"/>
      <c r="AH19" s="304"/>
      <c r="AI19" s="305"/>
      <c r="AJ19" s="306"/>
      <c r="AK19" s="305"/>
      <c r="AL19" s="304"/>
      <c r="AM19" s="305"/>
      <c r="AN19" s="304"/>
      <c r="AO19" s="305"/>
      <c r="AP19" s="305"/>
      <c r="AQ19" s="305"/>
      <c r="AR19" s="305"/>
      <c r="AS19" s="305"/>
      <c r="AT19" s="356"/>
      <c r="AU19" s="355"/>
      <c r="AV19" s="305"/>
      <c r="AW19" s="305"/>
      <c r="AX19" s="356"/>
      <c r="AY19" s="355"/>
      <c r="AZ19" s="356"/>
      <c r="BA19" s="355"/>
      <c r="BB19" s="437"/>
      <c r="BC19" s="97">
        <v>3</v>
      </c>
      <c r="BD19" s="540" t="s">
        <v>512</v>
      </c>
      <c r="BE19" s="97" t="s">
        <v>276</v>
      </c>
      <c r="BF19" s="97">
        <f>F10</f>
        <v>0</v>
      </c>
      <c r="BG19" s="97"/>
      <c r="BH19" s="97">
        <f>H10</f>
        <v>0</v>
      </c>
      <c r="BI19" s="97"/>
      <c r="BJ19" s="97">
        <f>J10</f>
        <v>0</v>
      </c>
      <c r="BK19" s="97"/>
      <c r="BL19" s="97">
        <f>L10</f>
        <v>0</v>
      </c>
      <c r="BM19" s="97"/>
      <c r="BN19" s="97">
        <f>N10</f>
        <v>0</v>
      </c>
      <c r="BO19" s="97"/>
      <c r="BP19" s="97">
        <f>P10</f>
        <v>0</v>
      </c>
      <c r="BQ19" s="97"/>
      <c r="BR19" s="97">
        <f>R10</f>
        <v>0</v>
      </c>
      <c r="BS19" s="97"/>
      <c r="BT19" s="97">
        <f>T10</f>
        <v>0</v>
      </c>
      <c r="BU19" s="97"/>
      <c r="BV19" s="97">
        <f>V10</f>
        <v>0</v>
      </c>
      <c r="BW19" s="97"/>
      <c r="BX19" s="97">
        <f>X10</f>
        <v>0</v>
      </c>
      <c r="BY19" s="97"/>
      <c r="BZ19" s="97">
        <f>Z10</f>
        <v>0</v>
      </c>
      <c r="CA19" s="97"/>
      <c r="CB19" s="97">
        <f>AB10</f>
        <v>0</v>
      </c>
      <c r="CC19" s="97"/>
      <c r="CD19" s="97">
        <f>AD10</f>
        <v>0</v>
      </c>
      <c r="CE19" s="97"/>
      <c r="CF19" s="97">
        <f>AF10</f>
        <v>0</v>
      </c>
      <c r="CG19" s="97"/>
      <c r="CH19" s="97">
        <f>AH10</f>
        <v>0</v>
      </c>
      <c r="CI19" s="97"/>
      <c r="CJ19" s="97">
        <f>AJ10</f>
        <v>0</v>
      </c>
      <c r="CK19" s="97"/>
      <c r="CL19" s="97">
        <f>AL10</f>
        <v>0</v>
      </c>
      <c r="CM19" s="97"/>
      <c r="CN19" s="97">
        <f>AN10</f>
        <v>0</v>
      </c>
      <c r="CO19" s="97"/>
      <c r="CP19" s="97">
        <f>AP10</f>
        <v>0</v>
      </c>
      <c r="CQ19" s="606"/>
      <c r="CR19" s="97">
        <f>AR10</f>
        <v>0</v>
      </c>
      <c r="CS19" s="97"/>
      <c r="CT19" s="97">
        <f>AT10</f>
        <v>0</v>
      </c>
      <c r="CU19" s="97"/>
      <c r="CV19" s="97">
        <f>AV10</f>
        <v>0</v>
      </c>
      <c r="CW19" s="97"/>
      <c r="CX19" s="97">
        <f>AX10</f>
        <v>0</v>
      </c>
      <c r="CY19" s="97"/>
      <c r="CZ19" s="97">
        <f>AZ10</f>
        <v>0</v>
      </c>
    </row>
    <row r="20" spans="3:104" ht="2.25" customHeight="1">
      <c r="C20" s="399"/>
      <c r="D20" s="399"/>
      <c r="E20" s="400"/>
      <c r="F20" s="342"/>
      <c r="G20" s="342"/>
      <c r="H20" s="338"/>
      <c r="I20" s="339"/>
      <c r="J20" s="340"/>
      <c r="K20" s="339"/>
      <c r="L20" s="340"/>
      <c r="M20" s="339"/>
      <c r="N20" s="340"/>
      <c r="O20" s="339"/>
      <c r="P20" s="340"/>
      <c r="Q20" s="339"/>
      <c r="R20" s="340"/>
      <c r="S20" s="339"/>
      <c r="T20" s="340"/>
      <c r="U20" s="339"/>
      <c r="V20" s="340"/>
      <c r="W20" s="339"/>
      <c r="X20" s="338"/>
      <c r="Y20" s="339"/>
      <c r="Z20" s="338"/>
      <c r="AA20" s="339"/>
      <c r="AB20" s="338"/>
      <c r="AC20" s="339"/>
      <c r="AD20" s="338"/>
      <c r="AE20" s="339"/>
      <c r="AF20" s="338"/>
      <c r="AG20" s="401"/>
      <c r="AH20" s="338"/>
      <c r="AI20" s="339"/>
      <c r="AJ20" s="340"/>
      <c r="AK20" s="339"/>
      <c r="AL20" s="338"/>
      <c r="AM20" s="341"/>
      <c r="AN20" s="336"/>
      <c r="AO20" s="341"/>
      <c r="AP20" s="341"/>
      <c r="AQ20" s="341"/>
      <c r="AR20" s="341"/>
      <c r="AS20" s="341"/>
      <c r="AV20" s="341"/>
      <c r="AW20" s="341"/>
      <c r="BC20" s="376"/>
      <c r="BD20" s="541"/>
      <c r="BE20" s="97"/>
      <c r="BF20" s="97"/>
      <c r="BG20" s="606"/>
      <c r="BH20" s="80"/>
      <c r="BI20" s="606"/>
      <c r="BJ20" s="80"/>
      <c r="BK20" s="606"/>
      <c r="BL20" s="80"/>
      <c r="BM20" s="606"/>
      <c r="BN20" s="80"/>
      <c r="BO20" s="606"/>
      <c r="BP20" s="80"/>
      <c r="BQ20" s="606"/>
      <c r="BR20" s="80"/>
      <c r="BS20" s="606"/>
      <c r="BT20" s="80"/>
      <c r="BU20" s="606"/>
      <c r="BV20" s="97"/>
      <c r="BW20" s="606"/>
      <c r="BX20" s="97"/>
      <c r="BY20" s="606"/>
      <c r="BZ20" s="97"/>
      <c r="CA20" s="606"/>
      <c r="CB20" s="97"/>
      <c r="CC20" s="606"/>
      <c r="CD20" s="97"/>
      <c r="CE20" s="606"/>
      <c r="CF20" s="97"/>
      <c r="CG20" s="606"/>
      <c r="CH20" s="80"/>
      <c r="CI20" s="606"/>
      <c r="CJ20" s="97"/>
      <c r="CK20" s="606"/>
      <c r="CL20" s="97"/>
      <c r="CM20" s="606"/>
      <c r="CN20" s="97"/>
      <c r="CO20" s="606"/>
      <c r="CP20" s="97"/>
      <c r="CQ20" s="606"/>
      <c r="CR20" s="97"/>
      <c r="CS20" s="606"/>
      <c r="CT20" s="97"/>
      <c r="CU20" s="606"/>
      <c r="CV20" s="97"/>
      <c r="CW20" s="606"/>
      <c r="CX20" s="97"/>
      <c r="CY20" s="606"/>
      <c r="CZ20" s="97"/>
    </row>
    <row r="21" spans="3:104" ht="18" customHeight="1">
      <c r="C21" s="312" t="s">
        <v>307</v>
      </c>
      <c r="D21" s="474" t="s">
        <v>310</v>
      </c>
      <c r="E21" s="402"/>
      <c r="F21" s="403"/>
      <c r="G21" s="403"/>
      <c r="H21" s="404"/>
      <c r="I21" s="405"/>
      <c r="J21" s="406"/>
      <c r="K21" s="405"/>
      <c r="L21" s="406"/>
      <c r="M21" s="405"/>
      <c r="N21" s="406"/>
      <c r="O21" s="405"/>
      <c r="P21" s="406"/>
      <c r="Q21" s="405"/>
      <c r="R21" s="406"/>
      <c r="S21" s="405"/>
      <c r="T21" s="406"/>
      <c r="U21" s="405"/>
      <c r="V21" s="406"/>
      <c r="W21" s="405"/>
      <c r="X21" s="404"/>
      <c r="Y21" s="405"/>
      <c r="Z21" s="404"/>
      <c r="AA21" s="405"/>
      <c r="AB21" s="404"/>
      <c r="AC21" s="405"/>
      <c r="AD21" s="404"/>
      <c r="AE21" s="405"/>
      <c r="AF21" s="404"/>
      <c r="AG21" s="407"/>
      <c r="AH21" s="404"/>
      <c r="AI21" s="405"/>
      <c r="AJ21" s="406"/>
      <c r="AK21" s="405"/>
      <c r="AL21" s="404"/>
      <c r="AM21" s="405"/>
      <c r="AN21" s="404"/>
      <c r="AO21" s="405"/>
      <c r="AP21" s="405"/>
      <c r="AQ21" s="405"/>
      <c r="AR21" s="405"/>
      <c r="AS21" s="405"/>
      <c r="AT21" s="404"/>
      <c r="AU21" s="405"/>
      <c r="AV21" s="405"/>
      <c r="AW21" s="405"/>
      <c r="AX21" s="404"/>
      <c r="AY21" s="405"/>
      <c r="AZ21" s="404"/>
      <c r="BA21" s="405"/>
      <c r="BB21" s="475"/>
      <c r="BC21" s="287" t="s">
        <v>182</v>
      </c>
      <c r="BD21" s="284" t="s">
        <v>48</v>
      </c>
      <c r="BE21" s="97"/>
      <c r="BF21" s="97" t="str">
        <f>IF(OR(ISBLANK(F10),ISBLANK(F9)),"N/A",IF(BF17&gt;=BF19,"ok","&lt;&gt;"))</f>
        <v>N/A</v>
      </c>
      <c r="BG21" s="97"/>
      <c r="BH21" s="97" t="str">
        <f>IF(OR(ISBLANK(H10),ISBLANK(H9)),"N/A",IF(BH17&gt;=BH19,"ok","&lt;&gt;"))</f>
        <v>N/A</v>
      </c>
      <c r="BI21" s="97"/>
      <c r="BJ21" s="97" t="str">
        <f>IF(OR(ISBLANK(J10),ISBLANK(J9)),"N/A",IF(BJ17&gt;=BJ19,"ok","&lt;&gt;"))</f>
        <v>N/A</v>
      </c>
      <c r="BK21" s="97"/>
      <c r="BL21" s="97" t="str">
        <f>IF(OR(ISBLANK(L10),ISBLANK(L9)),"N/A",IF(BL17&gt;=BL19,"ok","&lt;&gt;"))</f>
        <v>N/A</v>
      </c>
      <c r="BM21" s="97"/>
      <c r="BN21" s="97" t="str">
        <f>IF(OR(ISBLANK(N10),ISBLANK(N9)),"N/A",IF(BN17&gt;=BN19,"ok","&lt;&gt;"))</f>
        <v>N/A</v>
      </c>
      <c r="BO21" s="97"/>
      <c r="BP21" s="97" t="str">
        <f>IF(OR(ISBLANK(P10),ISBLANK(P9)),"N/A",IF(BP17&gt;=BP19,"ok","&lt;&gt;"))</f>
        <v>N/A</v>
      </c>
      <c r="BQ21" s="97"/>
      <c r="BR21" s="97" t="str">
        <f>IF(OR(ISBLANK(R10),ISBLANK(R9)),"N/A",IF(BR17&gt;=BR19,"ok","&lt;&gt;"))</f>
        <v>N/A</v>
      </c>
      <c r="BS21" s="97"/>
      <c r="BT21" s="97" t="str">
        <f>IF(OR(ISBLANK(T10),ISBLANK(T9)),"N/A",IF(BT17&gt;=BT19,"ok","&lt;&gt;"))</f>
        <v>N/A</v>
      </c>
      <c r="BU21" s="97"/>
      <c r="BV21" s="97" t="str">
        <f>IF(OR(ISBLANK(V10),ISBLANK(V9)),"N/A",IF(BV17&gt;=BV19,"ok","&lt;&gt;"))</f>
        <v>N/A</v>
      </c>
      <c r="BW21" s="97"/>
      <c r="BX21" s="97" t="str">
        <f>IF(OR(ISBLANK(X10),ISBLANK(X9)),"N/A",IF(BX17&gt;=BX19,"ok","&lt;&gt;"))</f>
        <v>N/A</v>
      </c>
      <c r="BY21" s="97"/>
      <c r="BZ21" s="97" t="str">
        <f>IF(OR(ISBLANK(Z10),ISBLANK(Z9)),"N/A",IF(BZ17&gt;=BZ19,"ok","&lt;&gt;"))</f>
        <v>N/A</v>
      </c>
      <c r="CA21" s="97"/>
      <c r="CB21" s="97" t="str">
        <f>IF(OR(ISBLANK(AB10),ISBLANK(AB9)),"N/A",IF(CB17&gt;=CB19,"ok","&lt;&gt;"))</f>
        <v>N/A</v>
      </c>
      <c r="CC21" s="97"/>
      <c r="CD21" s="97" t="str">
        <f>IF(OR(ISBLANK(AD10),ISBLANK(AD9)),"N/A",IF(CD17&gt;=CD19,"ok","&lt;&gt;"))</f>
        <v>N/A</v>
      </c>
      <c r="CE21" s="97"/>
      <c r="CF21" s="97" t="str">
        <f>IF(OR(ISBLANK(AF10),ISBLANK(AF9)),"N/A",IF(CF17&gt;=CF19,"ok","&lt;&gt;"))</f>
        <v>N/A</v>
      </c>
      <c r="CG21" s="97"/>
      <c r="CH21" s="97" t="str">
        <f>IF(OR(ISBLANK(AH10),ISBLANK(AH9)),"N/A",IF(CH17&gt;=CH19,"ok","&lt;&gt;"))</f>
        <v>N/A</v>
      </c>
      <c r="CI21" s="97"/>
      <c r="CJ21" s="97" t="str">
        <f>IF(OR(ISBLANK(AJ10),ISBLANK(AJ9)),"N/A",IF(CJ17&gt;=CJ19,"ok","&lt;&gt;"))</f>
        <v>N/A</v>
      </c>
      <c r="CK21" s="97"/>
      <c r="CL21" s="97" t="str">
        <f>IF(OR(ISBLANK(AL10),ISBLANK(AL9)),"N/A",IF(CL17&gt;=CL19,"ok","&lt;&gt;"))</f>
        <v>N/A</v>
      </c>
      <c r="CM21" s="97"/>
      <c r="CN21" s="97" t="str">
        <f>IF(OR(ISBLANK(AN10),ISBLANK(AN9)),"N/A",IF(CN17&gt;=CN19,"ok","&lt;&gt;"))</f>
        <v>N/A</v>
      </c>
      <c r="CO21" s="97"/>
      <c r="CP21" s="97" t="str">
        <f>IF(OR(ISBLANK(AP10),ISBLANK(AP9)),"N/A",IF(CP17&gt;=CP19,"ok","&lt;&gt;"))</f>
        <v>N/A</v>
      </c>
      <c r="CQ21" s="606"/>
      <c r="CR21" s="97" t="str">
        <f>IF(OR(ISBLANK(AR10),ISBLANK(AR9)),"N/A",IF(CR17&gt;=CR19,"ok","&lt;&gt;"))</f>
        <v>N/A</v>
      </c>
      <c r="CS21" s="97"/>
      <c r="CT21" s="97" t="str">
        <f>IF(OR(ISBLANK(AT10),ISBLANK(AT9)),"N/A",IF(CT17&gt;=CT19,"ok","&lt;&gt;"))</f>
        <v>N/A</v>
      </c>
      <c r="CU21" s="97"/>
      <c r="CV21" s="97" t="str">
        <f>IF(OR(ISBLANK(AV10),ISBLANK(AV9)),"N/A",IF(CV17&gt;=CV19,"ok","&lt;&gt;"))</f>
        <v>N/A</v>
      </c>
      <c r="CW21" s="97"/>
      <c r="CX21" s="97" t="str">
        <f>IF(OR(ISBLANK(AX10),ISBLANK(AX9)),"N/A",IF(CX17&gt;=CX19,"ok","&lt;&gt;"))</f>
        <v>N/A</v>
      </c>
      <c r="CY21" s="97"/>
      <c r="CZ21" s="97" t="str">
        <f>IF(OR(ISBLANK(AZ10),ISBLANK(AZ9)),"N/A",IF(CZ17&gt;=CZ19,"ok","&lt;&gt;"))</f>
        <v>N/A</v>
      </c>
    </row>
    <row r="22" spans="3:104" ht="18" customHeight="1">
      <c r="C22" s="542"/>
      <c r="D22" s="778"/>
      <c r="E22" s="779"/>
      <c r="F22" s="779"/>
      <c r="G22" s="779"/>
      <c r="H22" s="779"/>
      <c r="I22" s="779"/>
      <c r="J22" s="779"/>
      <c r="K22" s="779"/>
      <c r="L22" s="779"/>
      <c r="M22" s="779"/>
      <c r="N22" s="779"/>
      <c r="O22" s="779"/>
      <c r="P22" s="779"/>
      <c r="Q22" s="779"/>
      <c r="R22" s="779"/>
      <c r="S22" s="779"/>
      <c r="T22" s="779"/>
      <c r="U22" s="779"/>
      <c r="V22" s="779"/>
      <c r="W22" s="779"/>
      <c r="X22" s="779"/>
      <c r="Y22" s="779"/>
      <c r="Z22" s="779"/>
      <c r="AA22" s="779"/>
      <c r="AB22" s="779"/>
      <c r="AC22" s="779"/>
      <c r="AD22" s="779"/>
      <c r="AE22" s="779"/>
      <c r="AF22" s="779"/>
      <c r="AG22" s="779"/>
      <c r="AH22" s="779"/>
      <c r="AI22" s="779"/>
      <c r="AJ22" s="779"/>
      <c r="AK22" s="779"/>
      <c r="AL22" s="779"/>
      <c r="AM22" s="779"/>
      <c r="AN22" s="779"/>
      <c r="AO22" s="779"/>
      <c r="AP22" s="779"/>
      <c r="AQ22" s="779"/>
      <c r="AR22" s="779"/>
      <c r="AS22" s="779"/>
      <c r="AT22" s="779"/>
      <c r="AU22" s="779"/>
      <c r="AV22" s="779"/>
      <c r="AW22" s="779"/>
      <c r="AX22" s="779"/>
      <c r="AY22" s="779"/>
      <c r="AZ22" s="779"/>
      <c r="BA22" s="779"/>
      <c r="BB22" s="780"/>
      <c r="BC22" s="82">
        <v>5</v>
      </c>
      <c r="BD22" s="248" t="s">
        <v>66</v>
      </c>
      <c r="BE22" s="82" t="s">
        <v>276</v>
      </c>
      <c r="BF22" s="97">
        <f>F12</f>
        <v>0</v>
      </c>
      <c r="BG22" s="97"/>
      <c r="BH22" s="97">
        <f>H12</f>
        <v>0</v>
      </c>
      <c r="BI22" s="97"/>
      <c r="BJ22" s="97">
        <f>J12</f>
        <v>0</v>
      </c>
      <c r="BK22" s="97"/>
      <c r="BL22" s="97">
        <f>L12</f>
        <v>0</v>
      </c>
      <c r="BM22" s="97"/>
      <c r="BN22" s="97">
        <f>N12</f>
        <v>0</v>
      </c>
      <c r="BO22" s="97"/>
      <c r="BP22" s="97">
        <f>P12</f>
        <v>0</v>
      </c>
      <c r="BQ22" s="97"/>
      <c r="BR22" s="97">
        <f>R12</f>
        <v>0</v>
      </c>
      <c r="BS22" s="97"/>
      <c r="BT22" s="97">
        <f>T12</f>
        <v>0</v>
      </c>
      <c r="BU22" s="97"/>
      <c r="BV22" s="97">
        <f>V12</f>
        <v>0</v>
      </c>
      <c r="BW22" s="97"/>
      <c r="BX22" s="97">
        <f>X12</f>
        <v>0</v>
      </c>
      <c r="BY22" s="97"/>
      <c r="BZ22" s="97">
        <f>Z12</f>
        <v>0</v>
      </c>
      <c r="CA22" s="97"/>
      <c r="CB22" s="97">
        <f>AB12</f>
        <v>0</v>
      </c>
      <c r="CC22" s="97"/>
      <c r="CD22" s="97">
        <f>AD12</f>
        <v>0</v>
      </c>
      <c r="CE22" s="97"/>
      <c r="CF22" s="97">
        <f>AF12</f>
        <v>0</v>
      </c>
      <c r="CG22" s="97"/>
      <c r="CH22" s="97">
        <f>AH12</f>
        <v>0</v>
      </c>
      <c r="CI22" s="97"/>
      <c r="CJ22" s="97">
        <f>AJ12</f>
        <v>0</v>
      </c>
      <c r="CK22" s="97"/>
      <c r="CL22" s="97">
        <f>AL12</f>
        <v>0</v>
      </c>
      <c r="CM22" s="97"/>
      <c r="CN22" s="97">
        <f>AN12</f>
        <v>0</v>
      </c>
      <c r="CO22" s="97"/>
      <c r="CP22" s="97">
        <f>AP12</f>
        <v>0</v>
      </c>
      <c r="CQ22" s="606"/>
      <c r="CR22" s="97">
        <f>AR12</f>
        <v>0</v>
      </c>
      <c r="CS22" s="97"/>
      <c r="CT22" s="97">
        <f>AT12</f>
        <v>0</v>
      </c>
      <c r="CU22" s="97"/>
      <c r="CV22" s="97">
        <f>AV12</f>
        <v>0</v>
      </c>
      <c r="CW22" s="97"/>
      <c r="CX22" s="97">
        <f>AX12</f>
        <v>0</v>
      </c>
      <c r="CY22" s="97"/>
      <c r="CZ22" s="97">
        <f>AZ12</f>
        <v>0</v>
      </c>
    </row>
    <row r="23" spans="3:104" ht="18" customHeight="1">
      <c r="C23" s="542"/>
      <c r="D23" s="755"/>
      <c r="E23" s="756"/>
      <c r="F23" s="756"/>
      <c r="G23" s="756"/>
      <c r="H23" s="756"/>
      <c r="I23" s="756"/>
      <c r="J23" s="756"/>
      <c r="K23" s="756"/>
      <c r="L23" s="756"/>
      <c r="M23" s="756"/>
      <c r="N23" s="756"/>
      <c r="O23" s="756"/>
      <c r="P23" s="756"/>
      <c r="Q23" s="756"/>
      <c r="R23" s="756"/>
      <c r="S23" s="756"/>
      <c r="T23" s="756"/>
      <c r="U23" s="756"/>
      <c r="V23" s="756"/>
      <c r="W23" s="756"/>
      <c r="X23" s="756"/>
      <c r="Y23" s="756"/>
      <c r="Z23" s="756"/>
      <c r="AA23" s="756"/>
      <c r="AB23" s="756"/>
      <c r="AC23" s="756"/>
      <c r="AD23" s="756"/>
      <c r="AE23" s="756"/>
      <c r="AF23" s="756"/>
      <c r="AG23" s="756"/>
      <c r="AH23" s="756"/>
      <c r="AI23" s="756"/>
      <c r="AJ23" s="756"/>
      <c r="AK23" s="756"/>
      <c r="AL23" s="756"/>
      <c r="AM23" s="756"/>
      <c r="AN23" s="756"/>
      <c r="AO23" s="756"/>
      <c r="AP23" s="756"/>
      <c r="AQ23" s="756"/>
      <c r="AR23" s="756"/>
      <c r="AS23" s="756"/>
      <c r="AT23" s="756"/>
      <c r="AU23" s="756"/>
      <c r="AV23" s="756"/>
      <c r="AW23" s="756"/>
      <c r="AX23" s="756"/>
      <c r="AY23" s="756"/>
      <c r="AZ23" s="756"/>
      <c r="BA23" s="756"/>
      <c r="BB23" s="757"/>
      <c r="BC23" s="313" t="s">
        <v>182</v>
      </c>
      <c r="BD23" s="314" t="s">
        <v>22</v>
      </c>
      <c r="BE23" s="95"/>
      <c r="BF23" s="95" t="str">
        <f>IF(OR(ISBLANK(F12),ISBLANK(F9),ISBLANK(F11)),"N/A",IF(BF22=100-F11-F9,"ok","&lt;&gt;"))</f>
        <v>N/A</v>
      </c>
      <c r="BG23" s="95"/>
      <c r="BH23" s="95" t="str">
        <f>IF(OR(ISBLANK(H12),ISBLANK(H9),ISBLANK(H11)),"N/A",IF(BH22=100-H11-H9,"ok","&lt;&gt;"))</f>
        <v>N/A</v>
      </c>
      <c r="BI23" s="95"/>
      <c r="BJ23" s="95" t="str">
        <f>IF(OR(ISBLANK(J12),ISBLANK(J9),ISBLANK(J11)),"N/A",IF(BJ22=100-J11-J9,"ok","&lt;&gt;"))</f>
        <v>N/A</v>
      </c>
      <c r="BK23" s="95"/>
      <c r="BL23" s="95" t="str">
        <f>IF(OR(ISBLANK(L12),ISBLANK(L9),ISBLANK(L11)),"N/A",IF(BL22=100-L11-L9,"ok","&lt;&gt;"))</f>
        <v>N/A</v>
      </c>
      <c r="BM23" s="95"/>
      <c r="BN23" s="95" t="str">
        <f>IF(OR(ISBLANK(N12),ISBLANK(N9),ISBLANK(N11)),"N/A",IF(BN22=100-N11-N9,"ok","&lt;&gt;"))</f>
        <v>N/A</v>
      </c>
      <c r="BO23" s="95"/>
      <c r="BP23" s="95" t="str">
        <f>IF(OR(ISBLANK(P12),ISBLANK(P9),ISBLANK(P11)),"N/A",IF(BP22=100-P11-P9,"ok","&lt;&gt;"))</f>
        <v>N/A</v>
      </c>
      <c r="BQ23" s="95"/>
      <c r="BR23" s="95" t="str">
        <f>IF(OR(ISBLANK(R12),ISBLANK(R9),ISBLANK(R11)),"N/A",IF(BR22=100-R11-R9,"ok","&lt;&gt;"))</f>
        <v>N/A</v>
      </c>
      <c r="BS23" s="95"/>
      <c r="BT23" s="95" t="str">
        <f>IF(OR(ISBLANK(T12),ISBLANK(T9),ISBLANK(T11)),"N/A",IF(BT22=100-T11-T9,"ok","&lt;&gt;"))</f>
        <v>N/A</v>
      </c>
      <c r="BU23" s="95"/>
      <c r="BV23" s="95" t="str">
        <f>IF(OR(ISBLANK(V12),ISBLANK(V9),ISBLANK(V11)),"N/A",IF(BV22=100-V11-V9,"ok","&lt;&gt;"))</f>
        <v>N/A</v>
      </c>
      <c r="BW23" s="95"/>
      <c r="BX23" s="95" t="str">
        <f>IF(OR(ISBLANK(X12),ISBLANK(X9),ISBLANK(X11)),"N/A",IF(BX22=100-X11-X9,"ok","&lt;&gt;"))</f>
        <v>N/A</v>
      </c>
      <c r="BY23" s="95"/>
      <c r="BZ23" s="95" t="str">
        <f>IF(OR(ISBLANK(Z12),ISBLANK(Z9),ISBLANK(Z11)),"N/A",IF(BZ22=100-Z11-Z9,"ok","&lt;&gt;"))</f>
        <v>N/A</v>
      </c>
      <c r="CA23" s="95"/>
      <c r="CB23" s="95" t="str">
        <f>IF(OR(ISBLANK(AB12),ISBLANK(AB9),ISBLANK(AB11)),"N/A",IF(CB22=100-AB11-AB9,"ok","&lt;&gt;"))</f>
        <v>N/A</v>
      </c>
      <c r="CC23" s="95"/>
      <c r="CD23" s="95" t="str">
        <f>IF(OR(ISBLANK(AD12),ISBLANK(AD9),ISBLANK(AD11)),"N/A",IF(CD22=100-AD11-AD9,"ok","&lt;&gt;"))</f>
        <v>N/A</v>
      </c>
      <c r="CE23" s="95"/>
      <c r="CF23" s="95" t="str">
        <f>IF(OR(ISBLANK(AF12),ISBLANK(AF9),ISBLANK(AF11)),"N/A",IF(CF22=100-AF11-AF9,"ok","&lt;&gt;"))</f>
        <v>N/A</v>
      </c>
      <c r="CG23" s="95"/>
      <c r="CH23" s="95" t="str">
        <f>IF(OR(ISBLANK(AH12),ISBLANK(AH9),ISBLANK(AH11)),"N/A",IF(CH22=100-AH11-AH9,"ok","&lt;&gt;"))</f>
        <v>N/A</v>
      </c>
      <c r="CI23" s="95"/>
      <c r="CJ23" s="95" t="str">
        <f>IF(OR(ISBLANK(AJ12),ISBLANK(AJ9),ISBLANK(AJ11)),"N/A",IF(CJ22=100-AJ11-AJ9,"ok","&lt;&gt;"))</f>
        <v>N/A</v>
      </c>
      <c r="CK23" s="95"/>
      <c r="CL23" s="95" t="str">
        <f>IF(OR(ISBLANK(AL12),ISBLANK(AL9),ISBLANK(AL11)),"N/A",IF(CL22=100-AL11-AL9,"ok","&lt;&gt;"))</f>
        <v>N/A</v>
      </c>
      <c r="CM23" s="95"/>
      <c r="CN23" s="95" t="str">
        <f>IF(OR(ISBLANK(AN12),ISBLANK(AN9),ISBLANK(AN11)),"N/A",IF(CN22=100-AN11-AN9,"ok","&lt;&gt;"))</f>
        <v>N/A</v>
      </c>
      <c r="CO23" s="95"/>
      <c r="CP23" s="95" t="str">
        <f>IF(OR(ISBLANK(AP12),ISBLANK(AP9),ISBLANK(AP11)),"N/A",IF(CP22=100-AP11-AP9,"ok","&lt;&gt;"))</f>
        <v>N/A</v>
      </c>
      <c r="CQ23" s="95"/>
      <c r="CR23" s="95" t="str">
        <f>IF(OR(ISBLANK(AR12),ISBLANK(AR9),ISBLANK(AR11)),"N/A",IF(CR22=100-AR11-AR9,"ok","&lt;&gt;"))</f>
        <v>N/A</v>
      </c>
      <c r="CS23" s="95"/>
      <c r="CT23" s="95" t="str">
        <f>IF(OR(ISBLANK(AT12),ISBLANK(AT9),ISBLANK(AT11)),"N/A",IF(CT22=100-AT11-AT9,"ok","&lt;&gt;"))</f>
        <v>N/A</v>
      </c>
      <c r="CU23" s="95"/>
      <c r="CV23" s="95" t="str">
        <f>IF(OR(ISBLANK(AV12),ISBLANK(AV9),ISBLANK(AV11)),"N/A",IF(CV22=100-AV11-AV9,"ok","&lt;&gt;"))</f>
        <v>N/A</v>
      </c>
      <c r="CW23" s="95"/>
      <c r="CX23" s="95" t="str">
        <f>IF(OR(ISBLANK(AX12),ISBLANK(AX9),ISBLANK(AX11)),"N/A",IF(CX22=100-AX11-AX9,"ok","&lt;&gt;"))</f>
        <v>N/A</v>
      </c>
      <c r="CY23" s="95"/>
      <c r="CZ23" s="95" t="str">
        <f>IF(OR(ISBLANK(AZ12),ISBLANK(AZ9),ISBLANK(AZ11)),"N/A",IF(CZ22=100-AZ11-AZ9,"ok","&lt;&gt;"))</f>
        <v>N/A</v>
      </c>
    </row>
    <row r="24" spans="3:104" ht="18" customHeight="1">
      <c r="C24" s="542"/>
      <c r="D24" s="755"/>
      <c r="E24" s="756"/>
      <c r="F24" s="756"/>
      <c r="G24" s="756"/>
      <c r="H24" s="756"/>
      <c r="I24" s="756"/>
      <c r="J24" s="756"/>
      <c r="K24" s="756"/>
      <c r="L24" s="756"/>
      <c r="M24" s="756"/>
      <c r="N24" s="756"/>
      <c r="O24" s="756"/>
      <c r="P24" s="756"/>
      <c r="Q24" s="756"/>
      <c r="R24" s="756"/>
      <c r="S24" s="756"/>
      <c r="T24" s="756"/>
      <c r="U24" s="756"/>
      <c r="V24" s="756"/>
      <c r="W24" s="756"/>
      <c r="X24" s="756"/>
      <c r="Y24" s="756"/>
      <c r="Z24" s="756"/>
      <c r="AA24" s="756"/>
      <c r="AB24" s="756"/>
      <c r="AC24" s="756"/>
      <c r="AD24" s="756"/>
      <c r="AE24" s="756"/>
      <c r="AF24" s="756"/>
      <c r="AG24" s="756"/>
      <c r="AH24" s="756"/>
      <c r="AI24" s="756"/>
      <c r="AJ24" s="756"/>
      <c r="AK24" s="756"/>
      <c r="AL24" s="756"/>
      <c r="AM24" s="756"/>
      <c r="AN24" s="756"/>
      <c r="AO24" s="756"/>
      <c r="AP24" s="756"/>
      <c r="AQ24" s="756"/>
      <c r="AR24" s="756"/>
      <c r="AS24" s="756"/>
      <c r="AT24" s="756"/>
      <c r="AU24" s="756"/>
      <c r="AV24" s="756"/>
      <c r="AW24" s="756"/>
      <c r="AX24" s="756"/>
      <c r="AY24" s="756"/>
      <c r="AZ24" s="756"/>
      <c r="BA24" s="756"/>
      <c r="BB24" s="757"/>
      <c r="BC24" s="315" t="s">
        <v>57</v>
      </c>
      <c r="BD24" s="316" t="s">
        <v>58</v>
      </c>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row>
    <row r="25" spans="3:104" ht="18" customHeight="1">
      <c r="C25" s="542"/>
      <c r="D25" s="755"/>
      <c r="E25" s="756"/>
      <c r="F25" s="756"/>
      <c r="G25" s="756"/>
      <c r="H25" s="756"/>
      <c r="I25" s="756"/>
      <c r="J25" s="756"/>
      <c r="K25" s="756"/>
      <c r="L25" s="756"/>
      <c r="M25" s="756"/>
      <c r="N25" s="756"/>
      <c r="O25" s="756"/>
      <c r="P25" s="756"/>
      <c r="Q25" s="756"/>
      <c r="R25" s="756"/>
      <c r="S25" s="756"/>
      <c r="T25" s="756"/>
      <c r="U25" s="756"/>
      <c r="V25" s="756"/>
      <c r="W25" s="756"/>
      <c r="X25" s="756"/>
      <c r="Y25" s="756"/>
      <c r="Z25" s="756"/>
      <c r="AA25" s="756"/>
      <c r="AB25" s="756"/>
      <c r="AC25" s="756"/>
      <c r="AD25" s="756"/>
      <c r="AE25" s="756"/>
      <c r="AF25" s="756"/>
      <c r="AG25" s="756"/>
      <c r="AH25" s="756"/>
      <c r="AI25" s="756"/>
      <c r="AJ25" s="756"/>
      <c r="AK25" s="756"/>
      <c r="AL25" s="756"/>
      <c r="AM25" s="756"/>
      <c r="AN25" s="756"/>
      <c r="AO25" s="756"/>
      <c r="AP25" s="756"/>
      <c r="AQ25" s="756"/>
      <c r="AR25" s="756"/>
      <c r="AS25" s="756"/>
      <c r="AT25" s="756"/>
      <c r="AU25" s="756"/>
      <c r="AV25" s="756"/>
      <c r="AW25" s="756"/>
      <c r="AX25" s="756"/>
      <c r="AY25" s="756"/>
      <c r="AZ25" s="756"/>
      <c r="BA25" s="756"/>
      <c r="BB25" s="757"/>
      <c r="BC25" s="315" t="s">
        <v>59</v>
      </c>
      <c r="BD25" s="316" t="s">
        <v>60</v>
      </c>
      <c r="BE25" s="432"/>
      <c r="BF25" s="432"/>
      <c r="BG25" s="432"/>
      <c r="BH25" s="432"/>
      <c r="BI25" s="432"/>
      <c r="BJ25" s="432"/>
      <c r="BK25" s="432"/>
      <c r="BL25" s="432"/>
      <c r="BM25" s="432"/>
      <c r="BN25" s="432"/>
      <c r="BO25" s="432"/>
      <c r="BP25" s="432"/>
      <c r="BQ25" s="432"/>
      <c r="BR25" s="432"/>
      <c r="BS25" s="432"/>
      <c r="BT25" s="432"/>
      <c r="BU25" s="432"/>
      <c r="BV25" s="432"/>
      <c r="BW25" s="432"/>
      <c r="BX25" s="432"/>
      <c r="BY25" s="432"/>
      <c r="BZ25" s="432"/>
      <c r="CA25" s="432"/>
      <c r="CB25" s="432"/>
      <c r="CC25" s="432"/>
      <c r="CD25" s="432"/>
      <c r="CE25" s="432"/>
      <c r="CF25" s="432"/>
      <c r="CG25" s="432"/>
      <c r="CH25" s="432"/>
      <c r="CI25" s="432"/>
      <c r="CJ25" s="432"/>
      <c r="CK25" s="432"/>
      <c r="CL25" s="432"/>
      <c r="CM25" s="432"/>
      <c r="CN25" s="432"/>
      <c r="CO25" s="432"/>
      <c r="CP25" s="432"/>
      <c r="CQ25" s="432"/>
      <c r="CR25" s="432"/>
      <c r="CS25" s="432"/>
      <c r="CT25" s="432"/>
      <c r="CU25" s="432"/>
      <c r="CV25" s="432"/>
      <c r="CW25" s="432"/>
      <c r="CX25" s="432"/>
      <c r="CY25" s="432"/>
      <c r="CZ25" s="432"/>
    </row>
    <row r="26" spans="3:104" ht="18" customHeight="1">
      <c r="C26" s="542"/>
      <c r="D26" s="755"/>
      <c r="E26" s="756"/>
      <c r="F26" s="756"/>
      <c r="G26" s="756"/>
      <c r="H26" s="756"/>
      <c r="I26" s="756"/>
      <c r="J26" s="756"/>
      <c r="K26" s="756"/>
      <c r="L26" s="756"/>
      <c r="M26" s="756"/>
      <c r="N26" s="756"/>
      <c r="O26" s="756"/>
      <c r="P26" s="756"/>
      <c r="Q26" s="756"/>
      <c r="R26" s="756"/>
      <c r="S26" s="756"/>
      <c r="T26" s="756"/>
      <c r="U26" s="756"/>
      <c r="V26" s="756"/>
      <c r="W26" s="756"/>
      <c r="X26" s="756"/>
      <c r="Y26" s="756"/>
      <c r="Z26" s="756"/>
      <c r="AA26" s="756"/>
      <c r="AB26" s="756"/>
      <c r="AC26" s="756"/>
      <c r="AD26" s="756"/>
      <c r="AE26" s="756"/>
      <c r="AF26" s="756"/>
      <c r="AG26" s="756"/>
      <c r="AH26" s="756"/>
      <c r="AI26" s="756"/>
      <c r="AJ26" s="756"/>
      <c r="AK26" s="756"/>
      <c r="AL26" s="756"/>
      <c r="AM26" s="756"/>
      <c r="AN26" s="756"/>
      <c r="AO26" s="756"/>
      <c r="AP26" s="756"/>
      <c r="AQ26" s="756"/>
      <c r="AR26" s="756"/>
      <c r="AS26" s="756"/>
      <c r="AT26" s="756"/>
      <c r="AU26" s="756"/>
      <c r="AV26" s="756"/>
      <c r="AW26" s="756"/>
      <c r="AX26" s="756"/>
      <c r="AY26" s="756"/>
      <c r="AZ26" s="756"/>
      <c r="BA26" s="756"/>
      <c r="BB26" s="757"/>
      <c r="BC26" s="317" t="s">
        <v>62</v>
      </c>
      <c r="BD26" s="316" t="s">
        <v>64</v>
      </c>
      <c r="BE26" s="432"/>
      <c r="BF26" s="432"/>
      <c r="BG26" s="432"/>
      <c r="BH26" s="432"/>
      <c r="BI26" s="432"/>
      <c r="BJ26" s="432"/>
      <c r="BK26" s="432"/>
      <c r="BL26" s="432"/>
      <c r="BM26" s="432"/>
      <c r="BN26" s="432"/>
      <c r="BO26" s="432"/>
      <c r="BP26" s="432"/>
      <c r="BQ26" s="432"/>
      <c r="BR26" s="432"/>
      <c r="BS26" s="432"/>
      <c r="BT26" s="432"/>
      <c r="BU26" s="432"/>
      <c r="BV26" s="432"/>
      <c r="BW26" s="432"/>
      <c r="BX26" s="432"/>
      <c r="BY26" s="432"/>
      <c r="BZ26" s="432"/>
      <c r="CA26" s="432"/>
      <c r="CB26" s="432"/>
      <c r="CC26" s="432"/>
      <c r="CD26" s="432"/>
      <c r="CE26" s="432"/>
      <c r="CF26" s="432"/>
      <c r="CG26" s="432"/>
      <c r="CH26" s="432"/>
      <c r="CI26" s="432"/>
      <c r="CJ26" s="432"/>
      <c r="CK26" s="432"/>
      <c r="CL26" s="432"/>
      <c r="CM26" s="432"/>
      <c r="CN26" s="432"/>
      <c r="CO26" s="432"/>
      <c r="CP26" s="432"/>
      <c r="CQ26" s="432"/>
      <c r="CR26" s="432"/>
      <c r="CS26" s="432"/>
      <c r="CT26" s="432"/>
      <c r="CU26" s="432"/>
      <c r="CV26" s="432"/>
      <c r="CW26" s="432"/>
      <c r="CX26" s="432"/>
      <c r="CY26" s="432"/>
      <c r="CZ26" s="432"/>
    </row>
    <row r="27" spans="3:104" ht="18" customHeight="1">
      <c r="C27" s="542"/>
      <c r="D27" s="755"/>
      <c r="E27" s="756"/>
      <c r="F27" s="756"/>
      <c r="G27" s="756"/>
      <c r="H27" s="756"/>
      <c r="I27" s="756"/>
      <c r="J27" s="756"/>
      <c r="K27" s="756"/>
      <c r="L27" s="756"/>
      <c r="M27" s="756"/>
      <c r="N27" s="756"/>
      <c r="O27" s="756"/>
      <c r="P27" s="756"/>
      <c r="Q27" s="756"/>
      <c r="R27" s="756"/>
      <c r="S27" s="756"/>
      <c r="T27" s="756"/>
      <c r="U27" s="756"/>
      <c r="V27" s="756"/>
      <c r="W27" s="756"/>
      <c r="X27" s="756"/>
      <c r="Y27" s="756"/>
      <c r="Z27" s="756"/>
      <c r="AA27" s="756"/>
      <c r="AB27" s="756"/>
      <c r="AC27" s="756"/>
      <c r="AD27" s="756"/>
      <c r="AE27" s="756"/>
      <c r="AF27" s="756"/>
      <c r="AG27" s="756"/>
      <c r="AH27" s="756"/>
      <c r="AI27" s="756"/>
      <c r="AJ27" s="756"/>
      <c r="AK27" s="756"/>
      <c r="AL27" s="756"/>
      <c r="AM27" s="756"/>
      <c r="AN27" s="756"/>
      <c r="AO27" s="756"/>
      <c r="AP27" s="756"/>
      <c r="AQ27" s="756"/>
      <c r="AR27" s="756"/>
      <c r="AS27" s="756"/>
      <c r="AT27" s="756"/>
      <c r="AU27" s="756"/>
      <c r="AV27" s="756"/>
      <c r="AW27" s="756"/>
      <c r="AX27" s="756"/>
      <c r="AY27" s="756"/>
      <c r="AZ27" s="756"/>
      <c r="BA27" s="756"/>
      <c r="BB27" s="757"/>
      <c r="BC27" s="317" t="s">
        <v>61</v>
      </c>
      <c r="BD27" s="316" t="s">
        <v>13</v>
      </c>
      <c r="BE27" s="96"/>
      <c r="BF27" s="96"/>
      <c r="BG27" s="96"/>
      <c r="BH27" s="114"/>
      <c r="BI27" s="114"/>
      <c r="BJ27" s="114"/>
      <c r="BK27" s="114"/>
      <c r="BL27" s="114"/>
      <c r="BM27" s="114"/>
      <c r="BN27" s="114"/>
      <c r="BO27" s="114"/>
      <c r="BP27" s="114"/>
      <c r="BQ27" s="114"/>
      <c r="BR27" s="114"/>
      <c r="BS27" s="114"/>
      <c r="BT27" s="114"/>
      <c r="BU27" s="114"/>
      <c r="BV27" s="96"/>
      <c r="BW27" s="96"/>
      <c r="BX27" s="96"/>
      <c r="BY27" s="96"/>
      <c r="BZ27" s="96"/>
      <c r="CA27" s="96"/>
      <c r="CB27" s="96"/>
      <c r="CC27" s="96"/>
      <c r="CD27" s="96"/>
      <c r="CE27" s="96"/>
      <c r="CF27" s="96"/>
      <c r="CG27" s="96"/>
      <c r="CH27" s="114"/>
      <c r="CI27" s="114"/>
      <c r="CJ27" s="96"/>
      <c r="CK27" s="96"/>
      <c r="CL27" s="96"/>
      <c r="CM27" s="96"/>
      <c r="CN27" s="96"/>
      <c r="CO27" s="96"/>
      <c r="CP27" s="96"/>
      <c r="CQ27" s="96"/>
      <c r="CR27" s="96"/>
      <c r="CS27" s="96"/>
      <c r="CT27" s="96"/>
      <c r="CU27" s="96"/>
      <c r="CV27" s="96"/>
      <c r="CW27" s="96"/>
      <c r="CX27" s="96"/>
      <c r="CY27" s="96"/>
      <c r="CZ27" s="96"/>
    </row>
    <row r="28" spans="3:104" ht="18" customHeight="1">
      <c r="C28" s="542"/>
      <c r="D28" s="755"/>
      <c r="E28" s="756"/>
      <c r="F28" s="756"/>
      <c r="G28" s="756"/>
      <c r="H28" s="756"/>
      <c r="I28" s="756"/>
      <c r="J28" s="756"/>
      <c r="K28" s="756"/>
      <c r="L28" s="756"/>
      <c r="M28" s="756"/>
      <c r="N28" s="756"/>
      <c r="O28" s="756"/>
      <c r="P28" s="756"/>
      <c r="Q28" s="756"/>
      <c r="R28" s="756"/>
      <c r="S28" s="756"/>
      <c r="T28" s="756"/>
      <c r="U28" s="756"/>
      <c r="V28" s="756"/>
      <c r="W28" s="756"/>
      <c r="X28" s="756"/>
      <c r="Y28" s="756"/>
      <c r="Z28" s="756"/>
      <c r="AA28" s="756"/>
      <c r="AB28" s="756"/>
      <c r="AC28" s="756"/>
      <c r="AD28" s="756"/>
      <c r="AE28" s="756"/>
      <c r="AF28" s="756"/>
      <c r="AG28" s="756"/>
      <c r="AH28" s="756"/>
      <c r="AI28" s="756"/>
      <c r="AJ28" s="756"/>
      <c r="AK28" s="756"/>
      <c r="AL28" s="756"/>
      <c r="AM28" s="756"/>
      <c r="AN28" s="756"/>
      <c r="AO28" s="756"/>
      <c r="AP28" s="756"/>
      <c r="AQ28" s="756"/>
      <c r="AR28" s="756"/>
      <c r="AS28" s="756"/>
      <c r="AT28" s="756"/>
      <c r="AU28" s="756"/>
      <c r="AV28" s="756"/>
      <c r="AW28" s="756"/>
      <c r="AX28" s="756"/>
      <c r="AY28" s="756"/>
      <c r="AZ28" s="756"/>
      <c r="BA28" s="756"/>
      <c r="BB28" s="757"/>
      <c r="BE28" s="96"/>
      <c r="BF28" s="96"/>
      <c r="BG28" s="96"/>
      <c r="BH28" s="114"/>
      <c r="BI28" s="114"/>
      <c r="BJ28" s="114"/>
      <c r="BK28" s="114"/>
      <c r="BL28" s="114"/>
      <c r="BM28" s="114"/>
      <c r="BN28" s="114"/>
      <c r="BO28" s="114"/>
      <c r="BP28" s="114"/>
      <c r="BQ28" s="114"/>
      <c r="BR28" s="114"/>
      <c r="BS28" s="114"/>
      <c r="BT28" s="114"/>
      <c r="BU28" s="114"/>
      <c r="BV28" s="96"/>
      <c r="BW28" s="96"/>
      <c r="BX28" s="96"/>
      <c r="BY28" s="96"/>
      <c r="BZ28" s="96"/>
      <c r="CA28" s="96"/>
      <c r="CB28" s="96"/>
      <c r="CC28" s="96"/>
      <c r="CD28" s="96"/>
      <c r="CE28" s="96"/>
      <c r="CF28" s="96"/>
      <c r="CG28" s="96"/>
      <c r="CH28" s="114"/>
      <c r="CI28" s="114"/>
      <c r="CJ28" s="96"/>
      <c r="CK28" s="96"/>
      <c r="CL28" s="96"/>
      <c r="CM28" s="96"/>
      <c r="CN28" s="96"/>
      <c r="CO28" s="96"/>
      <c r="CP28" s="96"/>
      <c r="CQ28" s="96"/>
      <c r="CR28" s="96"/>
      <c r="CS28" s="96"/>
      <c r="CT28" s="96"/>
      <c r="CU28" s="96"/>
      <c r="CV28" s="96"/>
      <c r="CW28" s="96"/>
      <c r="CX28" s="96"/>
      <c r="CY28" s="96"/>
      <c r="CZ28" s="96"/>
    </row>
    <row r="29" spans="3:104" ht="18" customHeight="1">
      <c r="C29" s="542"/>
      <c r="D29" s="755"/>
      <c r="E29" s="756"/>
      <c r="F29" s="756"/>
      <c r="G29" s="756"/>
      <c r="H29" s="756"/>
      <c r="I29" s="756"/>
      <c r="J29" s="756"/>
      <c r="K29" s="756"/>
      <c r="L29" s="756"/>
      <c r="M29" s="756"/>
      <c r="N29" s="756"/>
      <c r="O29" s="756"/>
      <c r="P29" s="756"/>
      <c r="Q29" s="756"/>
      <c r="R29" s="756"/>
      <c r="S29" s="756"/>
      <c r="T29" s="756"/>
      <c r="U29" s="756"/>
      <c r="V29" s="756"/>
      <c r="W29" s="756"/>
      <c r="X29" s="756"/>
      <c r="Y29" s="756"/>
      <c r="Z29" s="756"/>
      <c r="AA29" s="756"/>
      <c r="AB29" s="756"/>
      <c r="AC29" s="756"/>
      <c r="AD29" s="756"/>
      <c r="AE29" s="756"/>
      <c r="AF29" s="756"/>
      <c r="AG29" s="756"/>
      <c r="AH29" s="756"/>
      <c r="AI29" s="756"/>
      <c r="AJ29" s="756"/>
      <c r="AK29" s="756"/>
      <c r="AL29" s="756"/>
      <c r="AM29" s="756"/>
      <c r="AN29" s="756"/>
      <c r="AO29" s="756"/>
      <c r="AP29" s="756"/>
      <c r="AQ29" s="756"/>
      <c r="AR29" s="756"/>
      <c r="AS29" s="756"/>
      <c r="AT29" s="756"/>
      <c r="AU29" s="756"/>
      <c r="AV29" s="756"/>
      <c r="AW29" s="756"/>
      <c r="AX29" s="756"/>
      <c r="AY29" s="756"/>
      <c r="AZ29" s="756"/>
      <c r="BA29" s="756"/>
      <c r="BB29" s="757"/>
      <c r="BE29" s="432"/>
      <c r="BF29" s="432"/>
      <c r="BG29" s="432"/>
      <c r="BH29" s="432"/>
      <c r="BI29" s="432"/>
      <c r="BJ29" s="432"/>
      <c r="BK29" s="432"/>
      <c r="BL29" s="432"/>
      <c r="BM29" s="432"/>
      <c r="BN29" s="432"/>
      <c r="BO29" s="432"/>
      <c r="BP29" s="432"/>
      <c r="BQ29" s="432"/>
      <c r="BR29" s="432"/>
      <c r="BS29" s="432"/>
      <c r="BT29" s="432"/>
      <c r="BU29" s="432"/>
      <c r="BV29" s="432"/>
      <c r="BW29" s="432"/>
      <c r="BX29" s="432"/>
      <c r="BY29" s="432"/>
      <c r="BZ29" s="432"/>
      <c r="CA29" s="432"/>
      <c r="CB29" s="432"/>
      <c r="CC29" s="432"/>
      <c r="CD29" s="432"/>
      <c r="CE29" s="432"/>
      <c r="CF29" s="432"/>
      <c r="CG29" s="432"/>
      <c r="CH29" s="432"/>
      <c r="CI29" s="432"/>
      <c r="CJ29" s="432"/>
      <c r="CK29" s="432"/>
      <c r="CL29" s="432"/>
      <c r="CM29" s="432"/>
      <c r="CN29" s="432"/>
      <c r="CO29" s="432"/>
      <c r="CP29" s="432"/>
      <c r="CQ29" s="432"/>
      <c r="CR29" s="432"/>
      <c r="CS29" s="432"/>
      <c r="CT29" s="432"/>
      <c r="CU29" s="432"/>
      <c r="CV29" s="432"/>
      <c r="CW29" s="432"/>
      <c r="CX29" s="432"/>
      <c r="CY29" s="432"/>
      <c r="CZ29" s="432"/>
    </row>
    <row r="30" spans="3:104" ht="18" customHeight="1">
      <c r="C30" s="542"/>
      <c r="D30" s="755"/>
      <c r="E30" s="756"/>
      <c r="F30" s="756"/>
      <c r="G30" s="756"/>
      <c r="H30" s="756"/>
      <c r="I30" s="756"/>
      <c r="J30" s="756"/>
      <c r="K30" s="756"/>
      <c r="L30" s="756"/>
      <c r="M30" s="756"/>
      <c r="N30" s="756"/>
      <c r="O30" s="756"/>
      <c r="P30" s="756"/>
      <c r="Q30" s="756"/>
      <c r="R30" s="756"/>
      <c r="S30" s="756"/>
      <c r="T30" s="756"/>
      <c r="U30" s="756"/>
      <c r="V30" s="756"/>
      <c r="W30" s="756"/>
      <c r="X30" s="756"/>
      <c r="Y30" s="756"/>
      <c r="Z30" s="756"/>
      <c r="AA30" s="756"/>
      <c r="AB30" s="756"/>
      <c r="AC30" s="756"/>
      <c r="AD30" s="756"/>
      <c r="AE30" s="756"/>
      <c r="AF30" s="756"/>
      <c r="AG30" s="756"/>
      <c r="AH30" s="756"/>
      <c r="AI30" s="756"/>
      <c r="AJ30" s="756"/>
      <c r="AK30" s="756"/>
      <c r="AL30" s="756"/>
      <c r="AM30" s="756"/>
      <c r="AN30" s="756"/>
      <c r="AO30" s="756"/>
      <c r="AP30" s="756"/>
      <c r="AQ30" s="756"/>
      <c r="AR30" s="756"/>
      <c r="AS30" s="756"/>
      <c r="AT30" s="756"/>
      <c r="AU30" s="756"/>
      <c r="AV30" s="756"/>
      <c r="AW30" s="756"/>
      <c r="AX30" s="756"/>
      <c r="AY30" s="756"/>
      <c r="AZ30" s="756"/>
      <c r="BA30" s="756"/>
      <c r="BB30" s="757"/>
      <c r="BE30" s="432"/>
      <c r="BF30" s="432"/>
      <c r="BG30" s="432"/>
      <c r="BH30" s="432"/>
      <c r="BI30" s="432"/>
      <c r="BJ30" s="432"/>
      <c r="BK30" s="432"/>
      <c r="BL30" s="432"/>
      <c r="BM30" s="432"/>
      <c r="BN30" s="432"/>
      <c r="BO30" s="432"/>
      <c r="BP30" s="432"/>
      <c r="BQ30" s="432"/>
      <c r="BR30" s="432"/>
      <c r="BS30" s="432"/>
      <c r="BT30" s="432"/>
      <c r="BU30" s="432"/>
      <c r="BV30" s="432"/>
      <c r="BW30" s="432"/>
      <c r="BX30" s="432"/>
      <c r="BY30" s="432"/>
      <c r="BZ30" s="432"/>
      <c r="CA30" s="432"/>
      <c r="CB30" s="432"/>
      <c r="CC30" s="432"/>
      <c r="CD30" s="432"/>
      <c r="CE30" s="432"/>
      <c r="CF30" s="432"/>
      <c r="CG30" s="432"/>
      <c r="CH30" s="432"/>
      <c r="CI30" s="432"/>
      <c r="CJ30" s="432"/>
      <c r="CK30" s="432"/>
      <c r="CL30" s="432"/>
      <c r="CM30" s="432"/>
      <c r="CN30" s="432"/>
      <c r="CO30" s="432"/>
      <c r="CP30" s="432"/>
      <c r="CQ30" s="432"/>
      <c r="CR30" s="432"/>
      <c r="CS30" s="432"/>
      <c r="CT30" s="432"/>
      <c r="CU30" s="432"/>
      <c r="CV30" s="432"/>
      <c r="CW30" s="432"/>
      <c r="CX30" s="432"/>
      <c r="CY30" s="432"/>
      <c r="CZ30" s="432"/>
    </row>
    <row r="31" spans="3:56" ht="18" customHeight="1">
      <c r="C31" s="542"/>
      <c r="D31" s="755"/>
      <c r="E31" s="756"/>
      <c r="F31" s="756"/>
      <c r="G31" s="756"/>
      <c r="H31" s="756"/>
      <c r="I31" s="756"/>
      <c r="J31" s="756"/>
      <c r="K31" s="756"/>
      <c r="L31" s="756"/>
      <c r="M31" s="756"/>
      <c r="N31" s="756"/>
      <c r="O31" s="756"/>
      <c r="P31" s="756"/>
      <c r="Q31" s="756"/>
      <c r="R31" s="756"/>
      <c r="S31" s="756"/>
      <c r="T31" s="756"/>
      <c r="U31" s="756"/>
      <c r="V31" s="756"/>
      <c r="W31" s="756"/>
      <c r="X31" s="756"/>
      <c r="Y31" s="756"/>
      <c r="Z31" s="756"/>
      <c r="AA31" s="756"/>
      <c r="AB31" s="756"/>
      <c r="AC31" s="756"/>
      <c r="AD31" s="756"/>
      <c r="AE31" s="756"/>
      <c r="AF31" s="756"/>
      <c r="AG31" s="756"/>
      <c r="AH31" s="756"/>
      <c r="AI31" s="756"/>
      <c r="AJ31" s="756"/>
      <c r="AK31" s="756"/>
      <c r="AL31" s="756"/>
      <c r="AM31" s="756"/>
      <c r="AN31" s="756"/>
      <c r="AO31" s="756"/>
      <c r="AP31" s="756"/>
      <c r="AQ31" s="756"/>
      <c r="AR31" s="756"/>
      <c r="AS31" s="756"/>
      <c r="AT31" s="756"/>
      <c r="AU31" s="756"/>
      <c r="AV31" s="756"/>
      <c r="AW31" s="756"/>
      <c r="AX31" s="756"/>
      <c r="AY31" s="756"/>
      <c r="AZ31" s="756"/>
      <c r="BA31" s="756"/>
      <c r="BB31" s="757"/>
      <c r="BD31" s="318"/>
    </row>
    <row r="32" spans="3:54" ht="18" customHeight="1">
      <c r="C32" s="542"/>
      <c r="D32" s="755"/>
      <c r="E32" s="756"/>
      <c r="F32" s="756"/>
      <c r="G32" s="756"/>
      <c r="H32" s="756"/>
      <c r="I32" s="756"/>
      <c r="J32" s="756"/>
      <c r="K32" s="756"/>
      <c r="L32" s="756"/>
      <c r="M32" s="756"/>
      <c r="N32" s="756"/>
      <c r="O32" s="756"/>
      <c r="P32" s="756"/>
      <c r="Q32" s="756"/>
      <c r="R32" s="756"/>
      <c r="S32" s="756"/>
      <c r="T32" s="756"/>
      <c r="U32" s="756"/>
      <c r="V32" s="756"/>
      <c r="W32" s="756"/>
      <c r="X32" s="756"/>
      <c r="Y32" s="756"/>
      <c r="Z32" s="756"/>
      <c r="AA32" s="756"/>
      <c r="AB32" s="756"/>
      <c r="AC32" s="756"/>
      <c r="AD32" s="756"/>
      <c r="AE32" s="756"/>
      <c r="AF32" s="756"/>
      <c r="AG32" s="756"/>
      <c r="AH32" s="756"/>
      <c r="AI32" s="756"/>
      <c r="AJ32" s="756"/>
      <c r="AK32" s="756"/>
      <c r="AL32" s="756"/>
      <c r="AM32" s="756"/>
      <c r="AN32" s="756"/>
      <c r="AO32" s="756"/>
      <c r="AP32" s="756"/>
      <c r="AQ32" s="756"/>
      <c r="AR32" s="756"/>
      <c r="AS32" s="756"/>
      <c r="AT32" s="756"/>
      <c r="AU32" s="756"/>
      <c r="AV32" s="756"/>
      <c r="AW32" s="756"/>
      <c r="AX32" s="756"/>
      <c r="AY32" s="756"/>
      <c r="AZ32" s="756"/>
      <c r="BA32" s="756"/>
      <c r="BB32" s="757"/>
    </row>
    <row r="33" spans="3:54" ht="18" customHeight="1">
      <c r="C33" s="542"/>
      <c r="D33" s="755"/>
      <c r="E33" s="756"/>
      <c r="F33" s="756"/>
      <c r="G33" s="756"/>
      <c r="H33" s="756"/>
      <c r="I33" s="756"/>
      <c r="J33" s="756"/>
      <c r="K33" s="756"/>
      <c r="L33" s="756"/>
      <c r="M33" s="756"/>
      <c r="N33" s="756"/>
      <c r="O33" s="756"/>
      <c r="P33" s="756"/>
      <c r="Q33" s="756"/>
      <c r="R33" s="756"/>
      <c r="S33" s="756"/>
      <c r="T33" s="756"/>
      <c r="U33" s="756"/>
      <c r="V33" s="756"/>
      <c r="W33" s="756"/>
      <c r="X33" s="756"/>
      <c r="Y33" s="756"/>
      <c r="Z33" s="756"/>
      <c r="AA33" s="756"/>
      <c r="AB33" s="756"/>
      <c r="AC33" s="756"/>
      <c r="AD33" s="756"/>
      <c r="AE33" s="756"/>
      <c r="AF33" s="756"/>
      <c r="AG33" s="756"/>
      <c r="AH33" s="756"/>
      <c r="AI33" s="756"/>
      <c r="AJ33" s="756"/>
      <c r="AK33" s="756"/>
      <c r="AL33" s="756"/>
      <c r="AM33" s="756"/>
      <c r="AN33" s="756"/>
      <c r="AO33" s="756"/>
      <c r="AP33" s="756"/>
      <c r="AQ33" s="756"/>
      <c r="AR33" s="756"/>
      <c r="AS33" s="756"/>
      <c r="AT33" s="756"/>
      <c r="AU33" s="756"/>
      <c r="AV33" s="756"/>
      <c r="AW33" s="756"/>
      <c r="AX33" s="756"/>
      <c r="AY33" s="756"/>
      <c r="AZ33" s="756"/>
      <c r="BA33" s="756"/>
      <c r="BB33" s="757"/>
    </row>
    <row r="34" spans="3:54" ht="18" customHeight="1">
      <c r="C34" s="542"/>
      <c r="D34" s="755"/>
      <c r="E34" s="756"/>
      <c r="F34" s="756"/>
      <c r="G34" s="756"/>
      <c r="H34" s="756"/>
      <c r="I34" s="756"/>
      <c r="J34" s="756"/>
      <c r="K34" s="756"/>
      <c r="L34" s="756"/>
      <c r="M34" s="756"/>
      <c r="N34" s="756"/>
      <c r="O34" s="756"/>
      <c r="P34" s="756"/>
      <c r="Q34" s="756"/>
      <c r="R34" s="756"/>
      <c r="S34" s="756"/>
      <c r="T34" s="756"/>
      <c r="U34" s="756"/>
      <c r="V34" s="756"/>
      <c r="W34" s="756"/>
      <c r="X34" s="756"/>
      <c r="Y34" s="756"/>
      <c r="Z34" s="756"/>
      <c r="AA34" s="756"/>
      <c r="AB34" s="756"/>
      <c r="AC34" s="756"/>
      <c r="AD34" s="756"/>
      <c r="AE34" s="756"/>
      <c r="AF34" s="756"/>
      <c r="AG34" s="756"/>
      <c r="AH34" s="756"/>
      <c r="AI34" s="756"/>
      <c r="AJ34" s="756"/>
      <c r="AK34" s="756"/>
      <c r="AL34" s="756"/>
      <c r="AM34" s="756"/>
      <c r="AN34" s="756"/>
      <c r="AO34" s="756"/>
      <c r="AP34" s="756"/>
      <c r="AQ34" s="756"/>
      <c r="AR34" s="756"/>
      <c r="AS34" s="756"/>
      <c r="AT34" s="756"/>
      <c r="AU34" s="756"/>
      <c r="AV34" s="756"/>
      <c r="AW34" s="756"/>
      <c r="AX34" s="756"/>
      <c r="AY34" s="756"/>
      <c r="AZ34" s="756"/>
      <c r="BA34" s="756"/>
      <c r="BB34" s="757"/>
    </row>
    <row r="35" spans="3:54" ht="18" customHeight="1">
      <c r="C35" s="542"/>
      <c r="D35" s="755"/>
      <c r="E35" s="756"/>
      <c r="F35" s="756"/>
      <c r="G35" s="756"/>
      <c r="H35" s="756"/>
      <c r="I35" s="756"/>
      <c r="J35" s="756"/>
      <c r="K35" s="756"/>
      <c r="L35" s="756"/>
      <c r="M35" s="756"/>
      <c r="N35" s="756"/>
      <c r="O35" s="756"/>
      <c r="P35" s="756"/>
      <c r="Q35" s="756"/>
      <c r="R35" s="756"/>
      <c r="S35" s="756"/>
      <c r="T35" s="756"/>
      <c r="U35" s="756"/>
      <c r="V35" s="756"/>
      <c r="W35" s="756"/>
      <c r="X35" s="756"/>
      <c r="Y35" s="756"/>
      <c r="Z35" s="756"/>
      <c r="AA35" s="756"/>
      <c r="AB35" s="756"/>
      <c r="AC35" s="756"/>
      <c r="AD35" s="756"/>
      <c r="AE35" s="756"/>
      <c r="AF35" s="756"/>
      <c r="AG35" s="756"/>
      <c r="AH35" s="756"/>
      <c r="AI35" s="756"/>
      <c r="AJ35" s="756"/>
      <c r="AK35" s="756"/>
      <c r="AL35" s="756"/>
      <c r="AM35" s="756"/>
      <c r="AN35" s="756"/>
      <c r="AO35" s="756"/>
      <c r="AP35" s="756"/>
      <c r="AQ35" s="756"/>
      <c r="AR35" s="756"/>
      <c r="AS35" s="756"/>
      <c r="AT35" s="756"/>
      <c r="AU35" s="756"/>
      <c r="AV35" s="756"/>
      <c r="AW35" s="756"/>
      <c r="AX35" s="756"/>
      <c r="AY35" s="756"/>
      <c r="AZ35" s="756"/>
      <c r="BA35" s="756"/>
      <c r="BB35" s="757"/>
    </row>
    <row r="36" spans="3:54" ht="18" customHeight="1">
      <c r="C36" s="542"/>
      <c r="D36" s="755"/>
      <c r="E36" s="756"/>
      <c r="F36" s="756"/>
      <c r="G36" s="756"/>
      <c r="H36" s="756"/>
      <c r="I36" s="756"/>
      <c r="J36" s="756"/>
      <c r="K36" s="756"/>
      <c r="L36" s="756"/>
      <c r="M36" s="756"/>
      <c r="N36" s="756"/>
      <c r="O36" s="756"/>
      <c r="P36" s="756"/>
      <c r="Q36" s="756"/>
      <c r="R36" s="756"/>
      <c r="S36" s="756"/>
      <c r="T36" s="756"/>
      <c r="U36" s="756"/>
      <c r="V36" s="756"/>
      <c r="W36" s="756"/>
      <c r="X36" s="756"/>
      <c r="Y36" s="756"/>
      <c r="Z36" s="756"/>
      <c r="AA36" s="756"/>
      <c r="AB36" s="756"/>
      <c r="AC36" s="756"/>
      <c r="AD36" s="756"/>
      <c r="AE36" s="756"/>
      <c r="AF36" s="756"/>
      <c r="AG36" s="756"/>
      <c r="AH36" s="756"/>
      <c r="AI36" s="756"/>
      <c r="AJ36" s="756"/>
      <c r="AK36" s="756"/>
      <c r="AL36" s="756"/>
      <c r="AM36" s="756"/>
      <c r="AN36" s="756"/>
      <c r="AO36" s="756"/>
      <c r="AP36" s="756"/>
      <c r="AQ36" s="756"/>
      <c r="AR36" s="756"/>
      <c r="AS36" s="756"/>
      <c r="AT36" s="756"/>
      <c r="AU36" s="756"/>
      <c r="AV36" s="756"/>
      <c r="AW36" s="756"/>
      <c r="AX36" s="756"/>
      <c r="AY36" s="756"/>
      <c r="AZ36" s="756"/>
      <c r="BA36" s="756"/>
      <c r="BB36" s="757"/>
    </row>
    <row r="37" spans="3:54" ht="18" customHeight="1">
      <c r="C37" s="542"/>
      <c r="D37" s="755"/>
      <c r="E37" s="756"/>
      <c r="F37" s="756"/>
      <c r="G37" s="756"/>
      <c r="H37" s="756"/>
      <c r="I37" s="756"/>
      <c r="J37" s="756"/>
      <c r="K37" s="756"/>
      <c r="L37" s="756"/>
      <c r="M37" s="756"/>
      <c r="N37" s="756"/>
      <c r="O37" s="756"/>
      <c r="P37" s="756"/>
      <c r="Q37" s="756"/>
      <c r="R37" s="756"/>
      <c r="S37" s="756"/>
      <c r="T37" s="756"/>
      <c r="U37" s="756"/>
      <c r="V37" s="756"/>
      <c r="W37" s="756"/>
      <c r="X37" s="756"/>
      <c r="Y37" s="756"/>
      <c r="Z37" s="756"/>
      <c r="AA37" s="756"/>
      <c r="AB37" s="756"/>
      <c r="AC37" s="756"/>
      <c r="AD37" s="756"/>
      <c r="AE37" s="756"/>
      <c r="AF37" s="756"/>
      <c r="AG37" s="756"/>
      <c r="AH37" s="756"/>
      <c r="AI37" s="756"/>
      <c r="AJ37" s="756"/>
      <c r="AK37" s="756"/>
      <c r="AL37" s="756"/>
      <c r="AM37" s="756"/>
      <c r="AN37" s="756"/>
      <c r="AO37" s="756"/>
      <c r="AP37" s="756"/>
      <c r="AQ37" s="756"/>
      <c r="AR37" s="756"/>
      <c r="AS37" s="756"/>
      <c r="AT37" s="756"/>
      <c r="AU37" s="756"/>
      <c r="AV37" s="756"/>
      <c r="AW37" s="756"/>
      <c r="AX37" s="756"/>
      <c r="AY37" s="756"/>
      <c r="AZ37" s="756"/>
      <c r="BA37" s="756"/>
      <c r="BB37" s="757"/>
    </row>
    <row r="38" spans="3:54" ht="18" customHeight="1">
      <c r="C38" s="542"/>
      <c r="D38" s="755"/>
      <c r="E38" s="756"/>
      <c r="F38" s="756"/>
      <c r="G38" s="756"/>
      <c r="H38" s="756"/>
      <c r="I38" s="756"/>
      <c r="J38" s="756"/>
      <c r="K38" s="756"/>
      <c r="L38" s="756"/>
      <c r="M38" s="756"/>
      <c r="N38" s="756"/>
      <c r="O38" s="756"/>
      <c r="P38" s="756"/>
      <c r="Q38" s="756"/>
      <c r="R38" s="756"/>
      <c r="S38" s="756"/>
      <c r="T38" s="756"/>
      <c r="U38" s="756"/>
      <c r="V38" s="756"/>
      <c r="W38" s="756"/>
      <c r="X38" s="756"/>
      <c r="Y38" s="756"/>
      <c r="Z38" s="756"/>
      <c r="AA38" s="756"/>
      <c r="AB38" s="756"/>
      <c r="AC38" s="756"/>
      <c r="AD38" s="756"/>
      <c r="AE38" s="756"/>
      <c r="AF38" s="756"/>
      <c r="AG38" s="756"/>
      <c r="AH38" s="756"/>
      <c r="AI38" s="756"/>
      <c r="AJ38" s="756"/>
      <c r="AK38" s="756"/>
      <c r="AL38" s="756"/>
      <c r="AM38" s="756"/>
      <c r="AN38" s="756"/>
      <c r="AO38" s="756"/>
      <c r="AP38" s="756"/>
      <c r="AQ38" s="756"/>
      <c r="AR38" s="756"/>
      <c r="AS38" s="756"/>
      <c r="AT38" s="756"/>
      <c r="AU38" s="756"/>
      <c r="AV38" s="756"/>
      <c r="AW38" s="756"/>
      <c r="AX38" s="756"/>
      <c r="AY38" s="756"/>
      <c r="AZ38" s="756"/>
      <c r="BA38" s="756"/>
      <c r="BB38" s="757"/>
    </row>
    <row r="39" spans="3:54" ht="18" customHeight="1">
      <c r="C39" s="542"/>
      <c r="D39" s="755"/>
      <c r="E39" s="756"/>
      <c r="F39" s="756"/>
      <c r="G39" s="756"/>
      <c r="H39" s="756"/>
      <c r="I39" s="756"/>
      <c r="J39" s="756"/>
      <c r="K39" s="756"/>
      <c r="L39" s="756"/>
      <c r="M39" s="756"/>
      <c r="N39" s="756"/>
      <c r="O39" s="756"/>
      <c r="P39" s="756"/>
      <c r="Q39" s="756"/>
      <c r="R39" s="756"/>
      <c r="S39" s="756"/>
      <c r="T39" s="756"/>
      <c r="U39" s="756"/>
      <c r="V39" s="756"/>
      <c r="W39" s="756"/>
      <c r="X39" s="756"/>
      <c r="Y39" s="756"/>
      <c r="Z39" s="756"/>
      <c r="AA39" s="756"/>
      <c r="AB39" s="756"/>
      <c r="AC39" s="756"/>
      <c r="AD39" s="756"/>
      <c r="AE39" s="756"/>
      <c r="AF39" s="756"/>
      <c r="AG39" s="756"/>
      <c r="AH39" s="756"/>
      <c r="AI39" s="756"/>
      <c r="AJ39" s="756"/>
      <c r="AK39" s="756"/>
      <c r="AL39" s="756"/>
      <c r="AM39" s="756"/>
      <c r="AN39" s="756"/>
      <c r="AO39" s="756"/>
      <c r="AP39" s="756"/>
      <c r="AQ39" s="756"/>
      <c r="AR39" s="756"/>
      <c r="AS39" s="756"/>
      <c r="AT39" s="756"/>
      <c r="AU39" s="756"/>
      <c r="AV39" s="756"/>
      <c r="AW39" s="756"/>
      <c r="AX39" s="756"/>
      <c r="AY39" s="756"/>
      <c r="AZ39" s="756"/>
      <c r="BA39" s="756"/>
      <c r="BB39" s="757"/>
    </row>
    <row r="40" spans="3:54" ht="18" customHeight="1">
      <c r="C40" s="542"/>
      <c r="D40" s="755"/>
      <c r="E40" s="756"/>
      <c r="F40" s="756"/>
      <c r="G40" s="756"/>
      <c r="H40" s="756"/>
      <c r="I40" s="756"/>
      <c r="J40" s="756"/>
      <c r="K40" s="756"/>
      <c r="L40" s="756"/>
      <c r="M40" s="756"/>
      <c r="N40" s="756"/>
      <c r="O40" s="756"/>
      <c r="P40" s="756"/>
      <c r="Q40" s="756"/>
      <c r="R40" s="756"/>
      <c r="S40" s="756"/>
      <c r="T40" s="756"/>
      <c r="U40" s="756"/>
      <c r="V40" s="756"/>
      <c r="W40" s="756"/>
      <c r="X40" s="756"/>
      <c r="Y40" s="756"/>
      <c r="Z40" s="756"/>
      <c r="AA40" s="756"/>
      <c r="AB40" s="756"/>
      <c r="AC40" s="756"/>
      <c r="AD40" s="756"/>
      <c r="AE40" s="756"/>
      <c r="AF40" s="756"/>
      <c r="AG40" s="756"/>
      <c r="AH40" s="756"/>
      <c r="AI40" s="756"/>
      <c r="AJ40" s="756"/>
      <c r="AK40" s="756"/>
      <c r="AL40" s="756"/>
      <c r="AM40" s="756"/>
      <c r="AN40" s="756"/>
      <c r="AO40" s="756"/>
      <c r="AP40" s="756"/>
      <c r="AQ40" s="756"/>
      <c r="AR40" s="756"/>
      <c r="AS40" s="756"/>
      <c r="AT40" s="756"/>
      <c r="AU40" s="756"/>
      <c r="AV40" s="756"/>
      <c r="AW40" s="756"/>
      <c r="AX40" s="756"/>
      <c r="AY40" s="756"/>
      <c r="AZ40" s="756"/>
      <c r="BA40" s="756"/>
      <c r="BB40" s="757"/>
    </row>
    <row r="41" spans="3:54" ht="18" customHeight="1">
      <c r="C41" s="542"/>
      <c r="D41" s="755"/>
      <c r="E41" s="756"/>
      <c r="F41" s="756"/>
      <c r="G41" s="756"/>
      <c r="H41" s="756"/>
      <c r="I41" s="756"/>
      <c r="J41" s="756"/>
      <c r="K41" s="756"/>
      <c r="L41" s="756"/>
      <c r="M41" s="756"/>
      <c r="N41" s="756"/>
      <c r="O41" s="756"/>
      <c r="P41" s="756"/>
      <c r="Q41" s="756"/>
      <c r="R41" s="756"/>
      <c r="S41" s="756"/>
      <c r="T41" s="756"/>
      <c r="U41" s="756"/>
      <c r="V41" s="756"/>
      <c r="W41" s="756"/>
      <c r="X41" s="756"/>
      <c r="Y41" s="756"/>
      <c r="Z41" s="756"/>
      <c r="AA41" s="756"/>
      <c r="AB41" s="756"/>
      <c r="AC41" s="756"/>
      <c r="AD41" s="756"/>
      <c r="AE41" s="756"/>
      <c r="AF41" s="756"/>
      <c r="AG41" s="756"/>
      <c r="AH41" s="756"/>
      <c r="AI41" s="756"/>
      <c r="AJ41" s="756"/>
      <c r="AK41" s="756"/>
      <c r="AL41" s="756"/>
      <c r="AM41" s="756"/>
      <c r="AN41" s="756"/>
      <c r="AO41" s="756"/>
      <c r="AP41" s="756"/>
      <c r="AQ41" s="756"/>
      <c r="AR41" s="756"/>
      <c r="AS41" s="756"/>
      <c r="AT41" s="756"/>
      <c r="AU41" s="756"/>
      <c r="AV41" s="756"/>
      <c r="AW41" s="756"/>
      <c r="AX41" s="756"/>
      <c r="AY41" s="756"/>
      <c r="AZ41" s="756"/>
      <c r="BA41" s="756"/>
      <c r="BB41" s="757"/>
    </row>
    <row r="42" spans="3:54" ht="18" customHeight="1">
      <c r="C42" s="581"/>
      <c r="D42" s="755"/>
      <c r="E42" s="756"/>
      <c r="F42" s="756"/>
      <c r="G42" s="756"/>
      <c r="H42" s="756"/>
      <c r="I42" s="756"/>
      <c r="J42" s="756"/>
      <c r="K42" s="756"/>
      <c r="L42" s="756"/>
      <c r="M42" s="756"/>
      <c r="N42" s="756"/>
      <c r="O42" s="756"/>
      <c r="P42" s="756"/>
      <c r="Q42" s="756"/>
      <c r="R42" s="756"/>
      <c r="S42" s="756"/>
      <c r="T42" s="756"/>
      <c r="U42" s="756"/>
      <c r="V42" s="756"/>
      <c r="W42" s="756"/>
      <c r="X42" s="756"/>
      <c r="Y42" s="756"/>
      <c r="Z42" s="756"/>
      <c r="AA42" s="756"/>
      <c r="AB42" s="756"/>
      <c r="AC42" s="756"/>
      <c r="AD42" s="756"/>
      <c r="AE42" s="756"/>
      <c r="AF42" s="756"/>
      <c r="AG42" s="756"/>
      <c r="AH42" s="756"/>
      <c r="AI42" s="756"/>
      <c r="AJ42" s="756"/>
      <c r="AK42" s="756"/>
      <c r="AL42" s="756"/>
      <c r="AM42" s="756"/>
      <c r="AN42" s="756"/>
      <c r="AO42" s="756"/>
      <c r="AP42" s="756"/>
      <c r="AQ42" s="756"/>
      <c r="AR42" s="756"/>
      <c r="AS42" s="756"/>
      <c r="AT42" s="756"/>
      <c r="AU42" s="756"/>
      <c r="AV42" s="756"/>
      <c r="AW42" s="756"/>
      <c r="AX42" s="756"/>
      <c r="AY42" s="756"/>
      <c r="AZ42" s="756"/>
      <c r="BA42" s="756"/>
      <c r="BB42" s="757"/>
    </row>
    <row r="43" spans="3:54" ht="18" customHeight="1">
      <c r="C43" s="579"/>
      <c r="D43" s="760"/>
      <c r="E43" s="761"/>
      <c r="F43" s="761"/>
      <c r="G43" s="761"/>
      <c r="H43" s="761"/>
      <c r="I43" s="761"/>
      <c r="J43" s="761"/>
      <c r="K43" s="761"/>
      <c r="L43" s="761"/>
      <c r="M43" s="761"/>
      <c r="N43" s="761"/>
      <c r="O43" s="761"/>
      <c r="P43" s="761"/>
      <c r="Q43" s="761"/>
      <c r="R43" s="761"/>
      <c r="S43" s="761"/>
      <c r="T43" s="761"/>
      <c r="U43" s="761"/>
      <c r="V43" s="761"/>
      <c r="W43" s="761"/>
      <c r="X43" s="761"/>
      <c r="Y43" s="761"/>
      <c r="Z43" s="761"/>
      <c r="AA43" s="761"/>
      <c r="AB43" s="761"/>
      <c r="AC43" s="761"/>
      <c r="AD43" s="761"/>
      <c r="AE43" s="761"/>
      <c r="AF43" s="761"/>
      <c r="AG43" s="761"/>
      <c r="AH43" s="761"/>
      <c r="AI43" s="761"/>
      <c r="AJ43" s="761"/>
      <c r="AK43" s="761"/>
      <c r="AL43" s="761"/>
      <c r="AM43" s="761"/>
      <c r="AN43" s="761"/>
      <c r="AO43" s="761"/>
      <c r="AP43" s="761"/>
      <c r="AQ43" s="761"/>
      <c r="AR43" s="761"/>
      <c r="AS43" s="761"/>
      <c r="AT43" s="761"/>
      <c r="AU43" s="761"/>
      <c r="AV43" s="761"/>
      <c r="AW43" s="761"/>
      <c r="AX43" s="761"/>
      <c r="AY43" s="761"/>
      <c r="AZ43" s="761"/>
      <c r="BA43" s="761"/>
      <c r="BB43" s="762"/>
    </row>
    <row r="44" spans="1:104" s="285" customFormat="1" ht="10.5" customHeight="1">
      <c r="A44" s="477"/>
      <c r="B44" s="421"/>
      <c r="C44" s="431"/>
      <c r="D44" s="431"/>
      <c r="E44" s="193"/>
      <c r="F44" s="319"/>
      <c r="G44" s="319"/>
      <c r="H44" s="221"/>
      <c r="I44" s="222"/>
      <c r="J44" s="223"/>
      <c r="K44" s="222"/>
      <c r="L44" s="223"/>
      <c r="M44" s="222"/>
      <c r="N44" s="223"/>
      <c r="O44" s="222"/>
      <c r="P44" s="223"/>
      <c r="Q44" s="222"/>
      <c r="R44" s="223"/>
      <c r="S44" s="222"/>
      <c r="T44" s="223"/>
      <c r="U44" s="222"/>
      <c r="V44" s="223"/>
      <c r="W44" s="222"/>
      <c r="X44" s="221"/>
      <c r="Y44" s="222"/>
      <c r="Z44" s="221"/>
      <c r="AA44" s="222"/>
      <c r="AB44" s="221"/>
      <c r="AC44" s="222"/>
      <c r="AD44" s="221"/>
      <c r="AE44" s="222"/>
      <c r="AF44" s="221"/>
      <c r="AG44" s="478"/>
      <c r="AH44" s="221"/>
      <c r="AI44" s="222"/>
      <c r="AJ44" s="223"/>
      <c r="AK44" s="222"/>
      <c r="AL44" s="221"/>
      <c r="AM44" s="222"/>
      <c r="AN44" s="221"/>
      <c r="AO44" s="341"/>
      <c r="AP44" s="341"/>
      <c r="AQ44" s="341"/>
      <c r="AR44" s="341"/>
      <c r="AS44" s="341"/>
      <c r="AT44" s="336"/>
      <c r="AU44" s="341"/>
      <c r="AV44" s="341"/>
      <c r="AW44" s="341"/>
      <c r="AX44" s="336"/>
      <c r="AY44" s="341"/>
      <c r="AZ44" s="336"/>
      <c r="BA44" s="341"/>
      <c r="BC44" s="432"/>
      <c r="BD44" s="432"/>
      <c r="BE44" s="432"/>
      <c r="BF44" s="432"/>
      <c r="BG44" s="432"/>
      <c r="BH44" s="432"/>
      <c r="BI44" s="432"/>
      <c r="BJ44" s="432"/>
      <c r="BK44" s="432"/>
      <c r="BL44" s="432"/>
      <c r="BM44" s="432"/>
      <c r="BN44" s="432"/>
      <c r="BO44" s="432"/>
      <c r="BP44" s="432"/>
      <c r="BQ44" s="432"/>
      <c r="BR44" s="432"/>
      <c r="BS44" s="432"/>
      <c r="BT44" s="432"/>
      <c r="BU44" s="432"/>
      <c r="BV44" s="432"/>
      <c r="BW44" s="432"/>
      <c r="BX44" s="432"/>
      <c r="BY44" s="432"/>
      <c r="BZ44" s="432"/>
      <c r="CA44" s="432"/>
      <c r="CB44" s="432"/>
      <c r="CC44" s="432"/>
      <c r="CD44" s="432"/>
      <c r="CE44" s="432"/>
      <c r="CF44" s="432"/>
      <c r="CG44" s="432"/>
      <c r="CH44" s="432"/>
      <c r="CI44" s="432"/>
      <c r="CJ44" s="432"/>
      <c r="CK44" s="432"/>
      <c r="CL44" s="432"/>
      <c r="CM44" s="432"/>
      <c r="CN44" s="432"/>
      <c r="CO44" s="432"/>
      <c r="CP44" s="432"/>
      <c r="CQ44" s="432"/>
      <c r="CR44" s="432"/>
      <c r="CS44" s="432"/>
      <c r="CT44" s="432"/>
      <c r="CU44" s="432"/>
      <c r="CV44" s="432"/>
      <c r="CW44" s="432"/>
      <c r="CX44" s="432"/>
      <c r="CY44" s="432"/>
      <c r="CZ44" s="432"/>
    </row>
    <row r="45" spans="3:7" ht="12.75">
      <c r="C45" s="217"/>
      <c r="D45" s="217"/>
      <c r="F45" s="319"/>
      <c r="G45" s="319"/>
    </row>
    <row r="46" spans="3:4" ht="12.75">
      <c r="C46" s="217"/>
      <c r="D46" s="217"/>
    </row>
    <row r="47" spans="3:4" ht="12.75">
      <c r="C47" s="217"/>
      <c r="D47" s="217"/>
    </row>
    <row r="48" spans="3:4" ht="12.75">
      <c r="C48" s="217"/>
      <c r="D48" s="217"/>
    </row>
    <row r="49" spans="3:4" ht="12.75">
      <c r="C49" s="217"/>
      <c r="D49" s="217"/>
    </row>
    <row r="50" spans="3:4" ht="12.75">
      <c r="C50" s="217"/>
      <c r="D50" s="217"/>
    </row>
    <row r="51" spans="3:4" ht="12.75">
      <c r="C51" s="217"/>
      <c r="D51" s="217"/>
    </row>
    <row r="52" spans="3:4" ht="12.75">
      <c r="C52" s="217"/>
      <c r="D52" s="217"/>
    </row>
    <row r="53" spans="3:4" ht="12.75">
      <c r="C53" s="217"/>
      <c r="D53" s="217"/>
    </row>
    <row r="54" spans="3:4" ht="12.75">
      <c r="C54" s="217"/>
      <c r="D54" s="217"/>
    </row>
    <row r="55" spans="3:4" ht="12.75">
      <c r="C55" s="217"/>
      <c r="D55" s="217"/>
    </row>
    <row r="56" spans="3:4" ht="12.75">
      <c r="C56" s="217"/>
      <c r="D56" s="217"/>
    </row>
    <row r="57" spans="3:4" ht="12.75">
      <c r="C57" s="217"/>
      <c r="D57" s="217"/>
    </row>
    <row r="58" spans="3:4" ht="12.75">
      <c r="C58" s="217"/>
      <c r="D58" s="217"/>
    </row>
    <row r="59" spans="3:4" ht="12.75">
      <c r="C59" s="217"/>
      <c r="D59" s="217"/>
    </row>
    <row r="60" spans="3:4" ht="12.75">
      <c r="C60" s="217"/>
      <c r="D60" s="217"/>
    </row>
    <row r="61" spans="3:4" ht="12.75">
      <c r="C61" s="217"/>
      <c r="D61" s="217"/>
    </row>
    <row r="62" spans="3:4" ht="12.75">
      <c r="C62" s="217"/>
      <c r="D62" s="217"/>
    </row>
    <row r="63" spans="3:4" ht="12.75">
      <c r="C63" s="217"/>
      <c r="D63" s="217"/>
    </row>
    <row r="64" spans="3:4" ht="12.75">
      <c r="C64" s="217"/>
      <c r="D64" s="217"/>
    </row>
    <row r="65" spans="3:4" ht="12.75">
      <c r="C65" s="217"/>
      <c r="D65" s="217"/>
    </row>
    <row r="66" spans="3:4" ht="12.75">
      <c r="C66" s="217"/>
      <c r="D66" s="217"/>
    </row>
    <row r="67" spans="3:4" ht="12.75">
      <c r="C67" s="217"/>
      <c r="D67" s="217"/>
    </row>
    <row r="68" spans="3:4" ht="12.75">
      <c r="C68" s="217"/>
      <c r="D68" s="217"/>
    </row>
    <row r="69" spans="3:4" ht="12.75">
      <c r="C69" s="217"/>
      <c r="D69" s="217"/>
    </row>
    <row r="70" spans="3:4" ht="12.75">
      <c r="C70" s="217"/>
      <c r="D70" s="217"/>
    </row>
    <row r="71" spans="3:4" ht="12.75">
      <c r="C71" s="217"/>
      <c r="D71" s="217"/>
    </row>
    <row r="72" spans="3:4" ht="12.75">
      <c r="C72" s="217"/>
      <c r="D72" s="217"/>
    </row>
    <row r="73" spans="3:4" ht="12.75">
      <c r="C73" s="217"/>
      <c r="D73" s="217"/>
    </row>
  </sheetData>
  <sheetProtection sheet="1" objects="1" scenarios="1" formatCells="0" formatColumns="0" formatRows="0" insertColumns="0"/>
  <mergeCells count="26">
    <mergeCell ref="D34:BB34"/>
    <mergeCell ref="D35:BB35"/>
    <mergeCell ref="D42:BB42"/>
    <mergeCell ref="D43:BB43"/>
    <mergeCell ref="D36:BB36"/>
    <mergeCell ref="D37:BB37"/>
    <mergeCell ref="D38:BB38"/>
    <mergeCell ref="D39:BB39"/>
    <mergeCell ref="D40:BB40"/>
    <mergeCell ref="D41:BB41"/>
    <mergeCell ref="D31:BB31"/>
    <mergeCell ref="D25:BB25"/>
    <mergeCell ref="D26:BB26"/>
    <mergeCell ref="D27:BB27"/>
    <mergeCell ref="D28:BB28"/>
    <mergeCell ref="D29:BB29"/>
    <mergeCell ref="D32:BB32"/>
    <mergeCell ref="D33:BB33"/>
    <mergeCell ref="C5:AN5"/>
    <mergeCell ref="D22:BB22"/>
    <mergeCell ref="D23:BB23"/>
    <mergeCell ref="D24:BB24"/>
    <mergeCell ref="D15:BB15"/>
    <mergeCell ref="D17:BB17"/>
    <mergeCell ref="D16:BB16"/>
    <mergeCell ref="D30:BB30"/>
  </mergeCells>
  <conditionalFormatting sqref="F12">
    <cfRule type="cellIs" priority="30" dxfId="211" operator="greaterThan" stopIfTrue="1">
      <formula>100-F9-F11+0.1</formula>
    </cfRule>
  </conditionalFormatting>
  <conditionalFormatting sqref="H12">
    <cfRule type="cellIs" priority="29" dxfId="211" operator="greaterThan" stopIfTrue="1">
      <formula>100-H9-H11+0.1</formula>
    </cfRule>
  </conditionalFormatting>
  <conditionalFormatting sqref="J12">
    <cfRule type="cellIs" priority="28" dxfId="211" operator="greaterThan" stopIfTrue="1">
      <formula>100-J9-J11+0.1</formula>
    </cfRule>
  </conditionalFormatting>
  <conditionalFormatting sqref="L12">
    <cfRule type="cellIs" priority="27" dxfId="211" operator="greaterThan" stopIfTrue="1">
      <formula>100-L9-L11+0.1</formula>
    </cfRule>
  </conditionalFormatting>
  <conditionalFormatting sqref="N12">
    <cfRule type="cellIs" priority="26" dxfId="211" operator="greaterThan" stopIfTrue="1">
      <formula>100-N9-N11+0.1</formula>
    </cfRule>
  </conditionalFormatting>
  <conditionalFormatting sqref="P12">
    <cfRule type="cellIs" priority="25" dxfId="211" operator="greaterThan" stopIfTrue="1">
      <formula>100-P9-P11+0.1</formula>
    </cfRule>
  </conditionalFormatting>
  <conditionalFormatting sqref="R12">
    <cfRule type="cellIs" priority="24" dxfId="211" operator="greaterThan" stopIfTrue="1">
      <formula>100-R9-R11+0.1</formula>
    </cfRule>
  </conditionalFormatting>
  <conditionalFormatting sqref="T12">
    <cfRule type="cellIs" priority="23" dxfId="211" operator="greaterThan" stopIfTrue="1">
      <formula>100-T9-T11+0.1</formula>
    </cfRule>
  </conditionalFormatting>
  <conditionalFormatting sqref="V12">
    <cfRule type="cellIs" priority="22" dxfId="211" operator="greaterThan" stopIfTrue="1">
      <formula>100-V9-V11+0.1</formula>
    </cfRule>
  </conditionalFormatting>
  <conditionalFormatting sqref="X12">
    <cfRule type="cellIs" priority="21" dxfId="211" operator="greaterThan" stopIfTrue="1">
      <formula>100-X9-X11+0.1</formula>
    </cfRule>
  </conditionalFormatting>
  <conditionalFormatting sqref="Z12">
    <cfRule type="cellIs" priority="20" dxfId="211" operator="greaterThan" stopIfTrue="1">
      <formula>100-Z9-Z11+0.1</formula>
    </cfRule>
  </conditionalFormatting>
  <conditionalFormatting sqref="AB12">
    <cfRule type="cellIs" priority="19" dxfId="211" operator="greaterThan" stopIfTrue="1">
      <formula>100-AB9-AB11+0.1</formula>
    </cfRule>
  </conditionalFormatting>
  <conditionalFormatting sqref="AD12">
    <cfRule type="cellIs" priority="18" dxfId="211" operator="greaterThan" stopIfTrue="1">
      <formula>100-AD9-AD11+0.1</formula>
    </cfRule>
  </conditionalFormatting>
  <conditionalFormatting sqref="AF12">
    <cfRule type="cellIs" priority="17" dxfId="211" operator="greaterThan" stopIfTrue="1">
      <formula>100-AF9-AF11+0.1</formula>
    </cfRule>
  </conditionalFormatting>
  <conditionalFormatting sqref="AH12">
    <cfRule type="cellIs" priority="16" dxfId="211" operator="greaterThan" stopIfTrue="1">
      <formula>100-AH9-AH11+0.1</formula>
    </cfRule>
  </conditionalFormatting>
  <conditionalFormatting sqref="AJ12">
    <cfRule type="cellIs" priority="15" dxfId="211" operator="greaterThan" stopIfTrue="1">
      <formula>100-AJ9-AJ11+0.1</formula>
    </cfRule>
  </conditionalFormatting>
  <conditionalFormatting sqref="AL12">
    <cfRule type="cellIs" priority="14" dxfId="211" operator="greaterThan" stopIfTrue="1">
      <formula>100-AL9-AL11+0.1</formula>
    </cfRule>
  </conditionalFormatting>
  <conditionalFormatting sqref="AN12">
    <cfRule type="cellIs" priority="13" dxfId="211" operator="greaterThan" stopIfTrue="1">
      <formula>100-AN9-AN11+0.1</formula>
    </cfRule>
  </conditionalFormatting>
  <conditionalFormatting sqref="AP12">
    <cfRule type="cellIs" priority="12" dxfId="211" operator="greaterThan" stopIfTrue="1">
      <formula>100-AP9-AP11+0.1</formula>
    </cfRule>
  </conditionalFormatting>
  <conditionalFormatting sqref="AR12">
    <cfRule type="cellIs" priority="11" dxfId="211" operator="greaterThan" stopIfTrue="1">
      <formula>100-AR9-AR11+0.1</formula>
    </cfRule>
  </conditionalFormatting>
  <conditionalFormatting sqref="AT12">
    <cfRule type="cellIs" priority="10" dxfId="211" operator="greaterThan" stopIfTrue="1">
      <formula>100-AT9-AT11+0.1</formula>
    </cfRule>
  </conditionalFormatting>
  <conditionalFormatting sqref="AZ12">
    <cfRule type="cellIs" priority="9" dxfId="211" operator="greaterThan" stopIfTrue="1">
      <formula>100-AZ9-AZ11+0.1</formula>
    </cfRule>
  </conditionalFormatting>
  <conditionalFormatting sqref="CB20 BZ20 BX20 BV20 CL20 CN20 CP20 CJ20 CF20 CD20 BF20 CZ20 CR20 CT20">
    <cfRule type="cellIs" priority="6" dxfId="211" operator="lessThan" stopIfTrue="1">
      <formula>BF21</formula>
    </cfRule>
  </conditionalFormatting>
  <conditionalFormatting sqref="CZ18 CP21 CZ21 CP23 BF23 BF21 BF18 BH18 BH23 BH21 BP21 BP18 BP23 BR23 BR21 BR18 BT18 BT23 BT21 BV21 BV18 BV23 BX23 BX21 BX18 BZ18 BZ23 BZ21 CT18 CT23 CZ23 CT21 CR18 CR21 CR23 CN21 CN18 CP18 CL21 CL23 CN23 CJ21 CJ18 CL18 CH21 CH23 CJ23 CF21 CF18 CH18 CD21 CD23 CF23 CB23 CB21 CB18 CD18 BJ21 BL21 BN21 BJ18 BL18 BN18 BJ23 BL23 BN23">
    <cfRule type="cellIs" priority="7" dxfId="211" operator="equal" stopIfTrue="1">
      <formula>"&lt;&gt;"</formula>
    </cfRule>
  </conditionalFormatting>
  <conditionalFormatting sqref="BR8:BR12 BT8:BT12 BV8:BV12 BX8:BX12 BZ8:BZ12 CT8:CT12 CR8:CR12 CP8:CP12 CN8:CN12 CL8:CL12 CJ8:CJ12 CH8:CH12 CF8:CF12 CB8:CB12 CD8:CD12 BJ8:BJ12 BL8:BL12 BN8:BN12 BP8:BP12 BH8:BH12 CZ8:CZ12">
    <cfRule type="cellIs" priority="8" dxfId="211" operator="equal" stopIfTrue="1">
      <formula>"&gt; 25%"</formula>
    </cfRule>
  </conditionalFormatting>
  <conditionalFormatting sqref="AV12">
    <cfRule type="cellIs" priority="5" dxfId="211" operator="greaterThan" stopIfTrue="1">
      <formula>100-AV9-AV11+0.1</formula>
    </cfRule>
  </conditionalFormatting>
  <conditionalFormatting sqref="AX12">
    <cfRule type="cellIs" priority="4" dxfId="211" operator="greaterThan" stopIfTrue="1">
      <formula>100-AX9-AX11+0.1</formula>
    </cfRule>
  </conditionalFormatting>
  <conditionalFormatting sqref="CV20 CX20">
    <cfRule type="cellIs" priority="1" dxfId="211" operator="lessThan" stopIfTrue="1">
      <formula>CV21</formula>
    </cfRule>
  </conditionalFormatting>
  <conditionalFormatting sqref="CX18 CX23 CX21 CV18 CV21 CV23">
    <cfRule type="cellIs" priority="2" dxfId="211" operator="equal" stopIfTrue="1">
      <formula>"&lt;&gt;"</formula>
    </cfRule>
  </conditionalFormatting>
  <conditionalFormatting sqref="CX8:CX12 CV8:CV12">
    <cfRule type="cellIs" priority="3" dxfId="211" operator="equal" stopIfTrue="1">
      <formula>"&gt; 25%"</formula>
    </cfRule>
  </conditionalFormatting>
  <printOptions horizontalCentered="1"/>
  <pageMargins left="0.56" right="0.4" top="0.65" bottom="1" header="0.43" footer="0.5"/>
  <pageSetup fitToHeight="0" fitToWidth="1" horizontalDpi="600" verticalDpi="600" orientation="landscape" paperSize="9" scale="57" r:id="rId3"/>
  <headerFooter alignWithMargins="0">
    <oddFooter>&amp;C&amp;"Arial,Regular"&amp;8UNSD/United Nations Environment Programme Questionnaire 2018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2018-07-24T18:00:30Z</cp:lastPrinted>
  <dcterms:created xsi:type="dcterms:W3CDTF">2001-01-18T18:38:40Z</dcterms:created>
  <dcterms:modified xsi:type="dcterms:W3CDTF">2020-02-10T16:24:59Z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4290400.00000000</vt:lpwstr>
  </property>
  <property fmtid="{D5CDD505-2E9C-101B-9397-08002B2CF9AE}" pid="4" name="display_urn:schemas-microsoft-com:office:office#Author">
    <vt:lpwstr>Xuan Che</vt:lpwstr>
  </property>
</Properties>
</file>